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65521" windowWidth="9660" windowHeight="12510" activeTab="0"/>
  </bookViews>
  <sheets>
    <sheet name="calculator" sheetId="1" r:id="rId1"/>
    <sheet name="Data" sheetId="2" state="hidden" r:id="rId2"/>
    <sheet name="Revision" sheetId="3" r:id="rId3"/>
  </sheets>
  <externalReferences>
    <externalReference r:id="rId6"/>
    <externalReference r:id="rId7"/>
    <externalReference r:id="rId8"/>
  </externalReferences>
  <definedNames>
    <definedName name="Acq" localSheetId="2">'[2]Data'!$A$96:$B$96</definedName>
    <definedName name="Acq">'Data'!$A$96:$B$96</definedName>
    <definedName name="AverRead" localSheetId="2">'[3]Sheet2'!$B$8:$B$18</definedName>
    <definedName name="AverRead">'[1]Sheet2'!$B$8:$B$18</definedName>
    <definedName name="avg" localSheetId="2">'[2]Data'!$A$104:$A$114</definedName>
    <definedName name="avg">'Data'!$A$104:$A$114</definedName>
    <definedName name="Dist" localSheetId="2">'[3]Sheet2'!$B$20:'[3]Sheet2'!$B$22</definedName>
    <definedName name="Dist">'[1]Sheet2'!$B$20:'[1]Sheet2'!$B$22</definedName>
    <definedName name="DistVal" localSheetId="2">'[3]Sheet2'!$B$20:'[3]Sheet2'!$C$22</definedName>
    <definedName name="DistVal">'[1]Sheet2'!$B$20:'[1]Sheet2'!$C$22</definedName>
    <definedName name="div" localSheetId="2">'[2]Data'!$A$204:$A$206</definedName>
    <definedName name="div">'Data'!$A$205:$A$207</definedName>
    <definedName name="divisor">'Data'!$B$205:$B$206</definedName>
    <definedName name="e">'Data'!$B$205:$B$206</definedName>
    <definedName name="HzUnit" localSheetId="2">'[3]Sheet2'!$B$2:$B$4</definedName>
    <definedName name="HzUnit">'[1]Sheet2'!$B$2:$B$4</definedName>
    <definedName name="mode" localSheetId="2">'[2]Data'!$A$102,'[2]Data'!$C$103</definedName>
    <definedName name="mode">'Data'!$A$102,'Data'!$C$103</definedName>
    <definedName name="Model" localSheetId="2">'[2]Data'!$B$5:$G$5</definedName>
    <definedName name="Model">'Data'!$B$5:$G$5</definedName>
    <definedName name="PowerMeter" localSheetId="2">'[2]Data'!$B$200:$C$200</definedName>
    <definedName name="PowerMeter">'Data'!$B$201:$C$201</definedName>
    <definedName name="RH" localSheetId="2">'[3]Sheet2'!$B$24:$B$25</definedName>
    <definedName name="RH">'[1]Sheet2'!$B$24:$B$25</definedName>
    <definedName name="SensModel" localSheetId="2">'[3]Sheet2'!$C$52:$AA$52</definedName>
    <definedName name="SensModel">'[1]Sheet2'!$C$52:$AA$52</definedName>
    <definedName name="Speed" localSheetId="2">'[2]Data'!$A$93:$C$93</definedName>
    <definedName name="Speed">'Data'!$A$93:$C$93</definedName>
    <definedName name="type" localSheetId="2">'[2]Data'!$A$90:$B$90</definedName>
    <definedName name="type">'Data'!$A$90:$B$90</definedName>
    <definedName name="VBW" localSheetId="2">'[2]Data'!$A$99:$D$99</definedName>
    <definedName name="VBW">'Data'!$A$99:$D$99</definedName>
  </definedNames>
  <calcPr fullCalcOnLoad="1"/>
</workbook>
</file>

<file path=xl/comments2.xml><?xml version="1.0" encoding="utf-8"?>
<comments xmlns="http://schemas.openxmlformats.org/spreadsheetml/2006/main">
  <authors>
    <author>sookhua</author>
  </authors>
  <commentList>
    <comment ref="N5" authorId="0">
      <text>
        <r>
          <rPr>
            <sz val="8"/>
            <rFont val="Tahoma"/>
            <family val="2"/>
          </rPr>
          <t xml:space="preserve">25+/-10degC
</t>
        </r>
      </text>
    </comment>
    <comment ref="J5" authorId="0">
      <text>
        <r>
          <rPr>
            <sz val="8"/>
            <rFont val="Tahoma"/>
            <family val="2"/>
          </rPr>
          <t xml:space="preserve">0.5% for CW measurements.
0.8% for peak measurements
</t>
        </r>
      </text>
    </comment>
    <comment ref="N4" authorId="0">
      <text>
        <r>
          <rPr>
            <sz val="8"/>
            <rFont val="Tahoma"/>
            <family val="2"/>
          </rPr>
          <t>23+/-3degC</t>
        </r>
        <r>
          <rPr>
            <sz val="8"/>
            <rFont val="Tahoma"/>
            <family val="2"/>
          </rPr>
          <t xml:space="preserve">
</t>
        </r>
      </text>
    </comment>
    <comment ref="A201" authorId="0">
      <text>
        <r>
          <rPr>
            <b/>
            <sz val="8"/>
            <rFont val="Tahoma"/>
            <family val="2"/>
          </rPr>
          <t xml:space="preserve">0 to 55degC
</t>
        </r>
        <r>
          <rPr>
            <sz val="8"/>
            <rFont val="Tahoma"/>
            <family val="2"/>
          </rPr>
          <t xml:space="preserve">
</t>
        </r>
      </text>
    </comment>
    <comment ref="K5" authorId="0">
      <text>
        <r>
          <rPr>
            <sz val="8"/>
            <rFont val="Tahoma"/>
            <family val="2"/>
          </rPr>
          <t xml:space="preserve">0.5% for CW measurements.
0.8% for peak measurements
</t>
        </r>
      </text>
    </comment>
    <comment ref="E67" authorId="0">
      <text>
        <r>
          <rPr>
            <b/>
            <sz val="8"/>
            <rFont val="Tahoma"/>
            <family val="2"/>
          </rPr>
          <t xml:space="preserve">For Triggered mode:
Noise = 1/√(gate length/ X ) * Noise per sample * Noise per sample multiplier base on VBW (Table 11)
X = 10ns for Fluffy sensors
X = 50ns for Frodo sensors
</t>
        </r>
      </text>
    </comment>
  </commentList>
</comments>
</file>

<file path=xl/sharedStrings.xml><?xml version="1.0" encoding="utf-8"?>
<sst xmlns="http://schemas.openxmlformats.org/spreadsheetml/2006/main" count="363" uniqueCount="134">
  <si>
    <t>Frequency</t>
  </si>
  <si>
    <t>Input</t>
  </si>
  <si>
    <t>Value</t>
  </si>
  <si>
    <t xml:space="preserve">Device Under Test (SWR) </t>
  </si>
  <si>
    <t>Sensor Model</t>
  </si>
  <si>
    <t>GHz</t>
  </si>
  <si>
    <t>Power</t>
  </si>
  <si>
    <t>dBm</t>
  </si>
  <si>
    <t>Number of Average Reading</t>
  </si>
  <si>
    <t>Source of Uncertainty</t>
  </si>
  <si>
    <t>Symbol</t>
  </si>
  <si>
    <t>Value ±%</t>
  </si>
  <si>
    <t>Probability Distribution</t>
  </si>
  <si>
    <t>Result</t>
  </si>
  <si>
    <t>Mismatch Gain Between Generator and Sensor</t>
  </si>
  <si>
    <r>
      <t>M</t>
    </r>
    <r>
      <rPr>
        <vertAlign val="subscript"/>
        <sz val="10"/>
        <rFont val="Arial"/>
        <family val="2"/>
      </rPr>
      <t>u</t>
    </r>
  </si>
  <si>
    <t>Rectangular</t>
  </si>
  <si>
    <t>D</t>
  </si>
  <si>
    <r>
      <t>K</t>
    </r>
    <r>
      <rPr>
        <vertAlign val="subscript"/>
        <sz val="10"/>
        <rFont val="Arial"/>
        <family val="2"/>
      </rPr>
      <t>b</t>
    </r>
  </si>
  <si>
    <t>Gaussian</t>
  </si>
  <si>
    <t>Power Sensor Linearity</t>
  </si>
  <si>
    <r>
      <t>P</t>
    </r>
    <r>
      <rPr>
        <vertAlign val="subscript"/>
        <sz val="10"/>
        <rFont val="Arial"/>
        <family val="2"/>
      </rPr>
      <t>l</t>
    </r>
  </si>
  <si>
    <r>
      <t>Z</t>
    </r>
    <r>
      <rPr>
        <vertAlign val="subscript"/>
        <sz val="10"/>
        <rFont val="Arial"/>
        <family val="2"/>
      </rPr>
      <t>s</t>
    </r>
  </si>
  <si>
    <t>N</t>
  </si>
  <si>
    <t>Combined Uncertainty-RSSed</t>
  </si>
  <si>
    <t>=</t>
  </si>
  <si>
    <t>K</t>
  </si>
  <si>
    <t>Expanded Uncertainty</t>
  </si>
  <si>
    <t>Upper Limit Uncertainty</t>
  </si>
  <si>
    <t>Lower Limit Uncertainty</t>
  </si>
  <si>
    <t>Power Linearity (25+/-10C)</t>
  </si>
  <si>
    <t>Zero Set</t>
  </si>
  <si>
    <t>Zero Drift</t>
  </si>
  <si>
    <t>Noise multiplier</t>
  </si>
  <si>
    <t>Number of avg</t>
  </si>
  <si>
    <t>rho DUT</t>
  </si>
  <si>
    <t>Zero drift</t>
  </si>
  <si>
    <t>W</t>
  </si>
  <si>
    <t>Zero set</t>
  </si>
  <si>
    <t>Sensor noise</t>
  </si>
  <si>
    <t>rho sensor</t>
  </si>
  <si>
    <t>Multiplier</t>
  </si>
  <si>
    <t>U-shape</t>
  </si>
  <si>
    <t>Normal</t>
  </si>
  <si>
    <t>x2</t>
  </si>
  <si>
    <t>Power Sensor Calibration Factor Uncertainties</t>
  </si>
  <si>
    <t>Mismatch Gain Between Calibration Source and Sensor</t>
  </si>
  <si>
    <t>Power Meter Instrumentation Error</t>
  </si>
  <si>
    <t>Power Meter Instrumentation Error During Calibration</t>
  </si>
  <si>
    <t>Power Meter Calibrator Output Power</t>
  </si>
  <si>
    <r>
      <t>M</t>
    </r>
    <r>
      <rPr>
        <vertAlign val="subscript"/>
        <sz val="10"/>
        <rFont val="Arial"/>
        <family val="2"/>
      </rPr>
      <t>uc</t>
    </r>
  </si>
  <si>
    <r>
      <t>P</t>
    </r>
    <r>
      <rPr>
        <vertAlign val="subscript"/>
        <sz val="10"/>
        <rFont val="Arial"/>
        <family val="2"/>
      </rPr>
      <t>m</t>
    </r>
  </si>
  <si>
    <r>
      <t>P</t>
    </r>
    <r>
      <rPr>
        <vertAlign val="subscript"/>
        <sz val="10"/>
        <rFont val="Arial"/>
        <family val="2"/>
      </rPr>
      <t>mc</t>
    </r>
  </si>
  <si>
    <r>
      <t>P</t>
    </r>
    <r>
      <rPr>
        <vertAlign val="subscript"/>
        <sz val="10"/>
        <rFont val="Arial"/>
        <family val="2"/>
      </rPr>
      <t>cal</t>
    </r>
  </si>
  <si>
    <t>PowerMeter</t>
  </si>
  <si>
    <t>EPM-P</t>
  </si>
  <si>
    <t>P-Series</t>
  </si>
  <si>
    <t>Calibrator Mismatch</t>
  </si>
  <si>
    <t>rho calibrator</t>
  </si>
  <si>
    <t>SWR calibrator</t>
  </si>
  <si>
    <t>Power Meter instrumentation Errors &amp; Calibrator Accuracy</t>
  </si>
  <si>
    <t>Power Meter Model</t>
  </si>
  <si>
    <t>Divisor</t>
  </si>
  <si>
    <t>Model</t>
  </si>
  <si>
    <t>Power Range</t>
  </si>
  <si>
    <t>E9321A</t>
  </si>
  <si>
    <t>E9322A</t>
  </si>
  <si>
    <t>E9325A</t>
  </si>
  <si>
    <t>E9326A</t>
  </si>
  <si>
    <t>E9327A</t>
  </si>
  <si>
    <t>Average Only</t>
  </si>
  <si>
    <t>E9323A</t>
  </si>
  <si>
    <t>Reference</t>
  </si>
  <si>
    <t>Power Meter Instrumentation Error - Average Only</t>
  </si>
  <si>
    <t>Power Meter Instrumentation Error - Normal</t>
  </si>
  <si>
    <t>Power Meter Instrumentation Error During Calibration - Normal</t>
  </si>
  <si>
    <t>Power Meter Instrumentation Error During Calibration - Average Only</t>
  </si>
  <si>
    <t>Sensor Noise</t>
  </si>
  <si>
    <t>Cal factor uncertainties (-65 to +20dBm, 25+/-10degC)</t>
  </si>
  <si>
    <t xml:space="preserve"> -65 to +20dBm</t>
  </si>
  <si>
    <t xml:space="preserve"> -60 to +20dBm</t>
  </si>
  <si>
    <t>#</t>
  </si>
  <si>
    <t>Frequency Check</t>
  </si>
  <si>
    <t>Power check</t>
  </si>
  <si>
    <t>Speed (normal, x2, fast)</t>
  </si>
  <si>
    <t>Acquisition type (triggered/ free run)</t>
  </si>
  <si>
    <t>Measurement mode (Avg only / Normal)</t>
  </si>
  <si>
    <t>© Agilent Technologies, Inc. 2008</t>
  </si>
  <si>
    <t>This calculation is base on ISO Guide to the Expression of Uncertainty in Measurement, often referred to as the GUM.</t>
  </si>
  <si>
    <t>For more info about GUM, please refer to Agilent Application Note 1449-3 "Fundamental of RF and Microwave Power Measurements (Part 3), literature number 5988-9215EN.</t>
  </si>
  <si>
    <t>The data used in this calculation is base on the specifications as in the EPM-P and P-Series datasheet, literature number 5980-1469E and 5989-2471EN.</t>
  </si>
  <si>
    <t>Fast</t>
  </si>
  <si>
    <t>Measurement Type</t>
  </si>
  <si>
    <t>Speed</t>
  </si>
  <si>
    <t>Trigger</t>
  </si>
  <si>
    <t>Video Bandwidth</t>
  </si>
  <si>
    <t>Free Run</t>
  </si>
  <si>
    <t>Low</t>
  </si>
  <si>
    <t>Medium</t>
  </si>
  <si>
    <t>High</t>
  </si>
  <si>
    <t>Off</t>
  </si>
  <si>
    <t>VBW setting (Low, Med, High, Off)</t>
  </si>
  <si>
    <t>Average only</t>
  </si>
  <si>
    <t>Overall Sensor Noise</t>
  </si>
  <si>
    <t>s</t>
  </si>
  <si>
    <t>Acq</t>
  </si>
  <si>
    <t>Greater Than 0dBm</t>
  </si>
  <si>
    <t>Less than &amp; equal to 0dBm</t>
  </si>
  <si>
    <t>Uncertainty</t>
  </si>
  <si>
    <t>&gt; 0dBm</t>
  </si>
  <si>
    <t>&lt;= 0dBm</t>
  </si>
  <si>
    <t xml:space="preserve"> Normal</t>
  </si>
  <si>
    <t>Gate Length</t>
  </si>
  <si>
    <t>Total Noise</t>
  </si>
  <si>
    <t>Acquisition type (Trigger/ Free Run)</t>
  </si>
  <si>
    <t>Agilent E932xA Power Sensor Uncertainty Calculator</t>
  </si>
  <si>
    <t>Sensor Noise (noise per sample)</t>
  </si>
  <si>
    <t>Sensor Noise (Average only mode)</t>
  </si>
  <si>
    <t>Sensor Noise (Normal, free run mode)</t>
  </si>
  <si>
    <t>Below settings are not required if Measurement Mode = Avg Only:</t>
  </si>
  <si>
    <t>Gate length (not required for Free Run Acquisition)</t>
  </si>
  <si>
    <t>Max SWR</t>
  </si>
  <si>
    <t>Normal mode, Free Run(EPM-P)</t>
  </si>
  <si>
    <t>Average Only mode (EPM-P)</t>
  </si>
  <si>
    <t>NA</t>
  </si>
  <si>
    <t>Video Bandwidth (noise multiplier)</t>
  </si>
  <si>
    <t>Revision 1 (23 Dec 2008)</t>
  </si>
  <si>
    <t>New creation</t>
  </si>
  <si>
    <t>Revision 2 (28 May 2009)</t>
  </si>
  <si>
    <t>Corrected error on mismatch uncertainty calculation.</t>
  </si>
  <si>
    <t>Revision 3</t>
  </si>
  <si>
    <t>Date updated: 25 Nov 2010</t>
  </si>
  <si>
    <t>(25 Nov 2010)</t>
  </si>
  <si>
    <t>rho sensor @ calilbration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</si>
</sst>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E+00"/>
    <numFmt numFmtId="165" formatCode="0.0000"/>
    <numFmt numFmtId="166" formatCode="0.000"/>
    <numFmt numFmtId="167" formatCode="0.0000%"/>
    <numFmt numFmtId="168" formatCode="0.0000E+00"/>
    <numFmt numFmtId="169" formatCode="0.000%"/>
    <numFmt numFmtId="170" formatCode="[$-409]h:mm:ss\ AM/PM"/>
    <numFmt numFmtId="171" formatCode="[$-409]dddd\,\ mmmm\ dd\,\ yyyy"/>
    <numFmt numFmtId="172" formatCode="0.00000"/>
    <numFmt numFmtId="173" formatCode="0.0000000"/>
    <numFmt numFmtId="174" formatCode="0.000000%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  <numFmt numFmtId="179" formatCode="0.000000"/>
    <numFmt numFmtId="180" formatCode="0.0000000000"/>
  </numFmts>
  <fonts count="54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u val="single"/>
      <sz val="10"/>
      <name val="Arial"/>
      <family val="2"/>
    </font>
    <font>
      <vertAlign val="subscript"/>
      <sz val="10"/>
      <name val="Arial"/>
      <family val="2"/>
    </font>
    <font>
      <sz val="10"/>
      <color indexed="61"/>
      <name val="Arial"/>
      <family val="2"/>
    </font>
    <font>
      <b/>
      <sz val="10"/>
      <color indexed="61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b/>
      <u val="single"/>
      <sz val="12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8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center"/>
    </xf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165" fontId="0" fillId="0" borderId="0" xfId="0" applyNumberFormat="1" applyBorder="1" applyAlignment="1">
      <alignment/>
    </xf>
    <xf numFmtId="167" fontId="0" fillId="0" borderId="0" xfId="0" applyNumberFormat="1" applyBorder="1" applyAlignment="1">
      <alignment/>
    </xf>
    <xf numFmtId="0" fontId="0" fillId="0" borderId="0" xfId="57">
      <alignment/>
      <protection/>
    </xf>
    <xf numFmtId="0" fontId="0" fillId="0" borderId="0" xfId="0" applyAlignment="1" applyProtection="1">
      <alignment/>
      <protection locked="0"/>
    </xf>
    <xf numFmtId="165" fontId="0" fillId="0" borderId="0" xfId="0" applyNumberFormat="1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3" fillId="0" borderId="0" xfId="0" applyNumberFormat="1" applyFont="1" applyFill="1" applyBorder="1" applyAlignment="1" applyProtection="1">
      <alignment horizontal="center"/>
      <protection locked="0"/>
    </xf>
    <xf numFmtId="166" fontId="3" fillId="0" borderId="0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165" fontId="5" fillId="0" borderId="0" xfId="0" applyNumberFormat="1" applyFont="1" applyBorder="1" applyAlignment="1" applyProtection="1">
      <alignment/>
      <protection locked="0"/>
    </xf>
    <xf numFmtId="0" fontId="3" fillId="0" borderId="0" xfId="0" applyFont="1" applyAlignment="1" applyProtection="1">
      <alignment horizontal="center"/>
      <protection locked="0"/>
    </xf>
    <xf numFmtId="165" fontId="3" fillId="0" borderId="0" xfId="0" applyNumberFormat="1" applyFont="1" applyBorder="1" applyAlignment="1" applyProtection="1">
      <alignment horizontal="center"/>
      <protection locked="0"/>
    </xf>
    <xf numFmtId="11" fontId="3" fillId="0" borderId="0" xfId="0" applyNumberFormat="1" applyFont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164" fontId="1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19" fillId="0" borderId="0" xfId="0" applyFont="1" applyFill="1" applyBorder="1" applyAlignment="1" applyProtection="1">
      <alignment horizontal="left" indent="1"/>
      <protection hidden="1"/>
    </xf>
    <xf numFmtId="0" fontId="1" fillId="0" borderId="10" xfId="0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Border="1" applyAlignment="1" applyProtection="1">
      <alignment horizontal="left" vertical="center"/>
      <protection hidden="1"/>
    </xf>
    <xf numFmtId="0" fontId="0" fillId="0" borderId="0" xfId="0" applyBorder="1" applyAlignment="1" applyProtection="1">
      <alignment/>
      <protection hidden="1"/>
    </xf>
    <xf numFmtId="0" fontId="18" fillId="0" borderId="0" xfId="0" applyFont="1" applyAlignment="1" applyProtection="1">
      <alignment/>
      <protection hidden="1"/>
    </xf>
    <xf numFmtId="0" fontId="2" fillId="0" borderId="0" xfId="0" applyFont="1" applyAlignment="1" applyProtection="1">
      <alignment/>
      <protection hidden="1"/>
    </xf>
    <xf numFmtId="0" fontId="1" fillId="0" borderId="0" xfId="0" applyFont="1" applyBorder="1" applyAlignment="1" applyProtection="1">
      <alignment horizontal="center"/>
      <protection hidden="1"/>
    </xf>
    <xf numFmtId="165" fontId="0" fillId="0" borderId="0" xfId="0" applyNumberFormat="1" applyBorder="1" applyAlignment="1" applyProtection="1">
      <alignment/>
      <protection hidden="1"/>
    </xf>
    <xf numFmtId="164" fontId="0" fillId="0" borderId="0" xfId="0" applyNumberForma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/>
      <protection hidden="1"/>
    </xf>
    <xf numFmtId="166" fontId="10" fillId="0" borderId="0" xfId="0" applyNumberFormat="1" applyFont="1" applyFill="1" applyBorder="1" applyAlignment="1" applyProtection="1">
      <alignment horizontal="center"/>
      <protection hidden="1"/>
    </xf>
    <xf numFmtId="166" fontId="0" fillId="0" borderId="0" xfId="0" applyNumberFormat="1" applyFont="1" applyFill="1" applyBorder="1" applyAlignment="1" applyProtection="1">
      <alignment horizontal="left"/>
      <protection hidden="1"/>
    </xf>
    <xf numFmtId="166" fontId="4" fillId="0" borderId="0" xfId="0" applyNumberFormat="1" applyFont="1" applyFill="1" applyBorder="1" applyAlignment="1" applyProtection="1">
      <alignment horizontal="left"/>
      <protection hidden="1"/>
    </xf>
    <xf numFmtId="180" fontId="0" fillId="0" borderId="0" xfId="0" applyNumberFormat="1" applyFont="1" applyFill="1" applyBorder="1" applyAlignment="1" applyProtection="1">
      <alignment horizontal="right"/>
      <protection hidden="1"/>
    </xf>
    <xf numFmtId="164" fontId="0" fillId="0" borderId="0" xfId="0" applyNumberFormat="1" applyBorder="1" applyAlignment="1" applyProtection="1">
      <alignment horizontal="left"/>
      <protection hidden="1"/>
    </xf>
    <xf numFmtId="166" fontId="0" fillId="0" borderId="0" xfId="0" applyNumberFormat="1" applyFont="1" applyFill="1" applyBorder="1" applyAlignment="1" applyProtection="1">
      <alignment horizontal="center"/>
      <protection hidden="1"/>
    </xf>
    <xf numFmtId="166" fontId="4" fillId="0" borderId="0" xfId="0" applyNumberFormat="1" applyFont="1" applyFill="1" applyBorder="1" applyAlignment="1" applyProtection="1">
      <alignment horizontal="center"/>
      <protection hidden="1"/>
    </xf>
    <xf numFmtId="0" fontId="4" fillId="0" borderId="0" xfId="0" applyFont="1" applyAlignment="1" applyProtection="1">
      <alignment/>
      <protection hidden="1"/>
    </xf>
    <xf numFmtId="165" fontId="5" fillId="0" borderId="0" xfId="0" applyNumberFormat="1" applyFont="1" applyBorder="1" applyAlignment="1" applyProtection="1">
      <alignment/>
      <protection hidden="1"/>
    </xf>
    <xf numFmtId="165" fontId="4" fillId="0" borderId="0" xfId="0" applyNumberFormat="1" applyFont="1" applyBorder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165" fontId="1" fillId="0" borderId="10" xfId="0" applyNumberFormat="1" applyFont="1" applyBorder="1" applyAlignment="1" applyProtection="1">
      <alignment horizontal="center"/>
      <protection hidden="1"/>
    </xf>
    <xf numFmtId="164" fontId="1" fillId="0" borderId="11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horizontal="center" vertical="center"/>
      <protection hidden="1"/>
    </xf>
    <xf numFmtId="167" fontId="8" fillId="0" borderId="0" xfId="0" applyNumberFormat="1" applyFont="1" applyBorder="1" applyAlignment="1" applyProtection="1">
      <alignment horizontal="center" vertical="center"/>
      <protection hidden="1"/>
    </xf>
    <xf numFmtId="167" fontId="8" fillId="0" borderId="0" xfId="0" applyNumberFormat="1" applyFont="1" applyFill="1" applyBorder="1" applyAlignment="1" applyProtection="1">
      <alignment horizontal="center"/>
      <protection hidden="1"/>
    </xf>
    <xf numFmtId="169" fontId="2" fillId="0" borderId="0" xfId="0" applyNumberFormat="1" applyFont="1" applyBorder="1" applyAlignment="1" applyProtection="1">
      <alignment horizontal="center"/>
      <protection hidden="1"/>
    </xf>
    <xf numFmtId="10" fontId="8" fillId="0" borderId="0" xfId="0" applyNumberFormat="1" applyFont="1" applyFill="1" applyBorder="1" applyAlignment="1" applyProtection="1">
      <alignment horizontal="center"/>
      <protection hidden="1"/>
    </xf>
    <xf numFmtId="0" fontId="8" fillId="0" borderId="0" xfId="0" applyNumberFormat="1" applyFont="1" applyFill="1" applyBorder="1" applyAlignment="1" applyProtection="1">
      <alignment horizontal="center"/>
      <protection hidden="1"/>
    </xf>
    <xf numFmtId="166" fontId="8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Border="1" applyAlignment="1" applyProtection="1">
      <alignment horizontal="center"/>
      <protection hidden="1"/>
    </xf>
    <xf numFmtId="0" fontId="0" fillId="0" borderId="0" xfId="0" applyFont="1" applyBorder="1" applyAlignment="1" applyProtection="1">
      <alignment horizontal="center"/>
      <protection hidden="1"/>
    </xf>
    <xf numFmtId="165" fontId="2" fillId="0" borderId="0" xfId="0" applyNumberFormat="1" applyFont="1" applyBorder="1" applyAlignment="1" applyProtection="1">
      <alignment horizontal="center"/>
      <protection hidden="1"/>
    </xf>
    <xf numFmtId="0" fontId="7" fillId="0" borderId="0" xfId="0" applyFont="1" applyBorder="1" applyAlignment="1" applyProtection="1">
      <alignment horizontal="center"/>
      <protection hidden="1"/>
    </xf>
    <xf numFmtId="165" fontId="7" fillId="0" borderId="0" xfId="0" applyNumberFormat="1" applyFont="1" applyBorder="1" applyAlignment="1" applyProtection="1">
      <alignment horizontal="center"/>
      <protection hidden="1"/>
    </xf>
    <xf numFmtId="10" fontId="7" fillId="0" borderId="0" xfId="0" applyNumberFormat="1" applyFont="1" applyBorder="1" applyAlignment="1" applyProtection="1">
      <alignment horizontal="center"/>
      <protection hidden="1"/>
    </xf>
    <xf numFmtId="168" fontId="7" fillId="0" borderId="0" xfId="0" applyNumberFormat="1" applyFont="1" applyBorder="1" applyAlignment="1" applyProtection="1">
      <alignment horizontal="center"/>
      <protection hidden="1"/>
    </xf>
    <xf numFmtId="167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2" fillId="0" borderId="12" xfId="0" applyFont="1" applyBorder="1" applyAlignment="1" applyProtection="1">
      <alignment wrapText="1"/>
      <protection hidden="1"/>
    </xf>
    <xf numFmtId="0" fontId="0" fillId="0" borderId="12" xfId="0" applyBorder="1" applyAlignment="1" applyProtection="1">
      <alignment/>
      <protection hidden="1"/>
    </xf>
    <xf numFmtId="10" fontId="0" fillId="0" borderId="12" xfId="0" applyNumberFormat="1" applyBorder="1" applyAlignment="1" applyProtection="1">
      <alignment/>
      <protection hidden="1"/>
    </xf>
    <xf numFmtId="0" fontId="2" fillId="0" borderId="12" xfId="0" applyFont="1" applyBorder="1" applyAlignment="1" applyProtection="1">
      <alignment horizontal="center"/>
      <protection hidden="1"/>
    </xf>
    <xf numFmtId="0" fontId="2" fillId="0" borderId="12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center"/>
      <protection hidden="1"/>
    </xf>
    <xf numFmtId="0" fontId="0" fillId="0" borderId="0" xfId="0" applyAlignment="1" applyProtection="1">
      <alignment horizontal="left"/>
      <protection hidden="1"/>
    </xf>
    <xf numFmtId="10" fontId="0" fillId="33" borderId="12" xfId="0" applyNumberFormat="1" applyFill="1" applyBorder="1" applyAlignment="1" applyProtection="1">
      <alignment/>
      <protection hidden="1"/>
    </xf>
    <xf numFmtId="0" fontId="0" fillId="0" borderId="12" xfId="0" applyBorder="1" applyAlignment="1" applyProtection="1">
      <alignment horizontal="center"/>
      <protection hidden="1"/>
    </xf>
    <xf numFmtId="0" fontId="0" fillId="0" borderId="12" xfId="0" applyFont="1" applyBorder="1" applyAlignment="1" applyProtection="1">
      <alignment horizontal="center"/>
      <protection hidden="1"/>
    </xf>
    <xf numFmtId="0" fontId="0" fillId="33" borderId="12" xfId="0" applyFill="1" applyBorder="1" applyAlignment="1" applyProtection="1">
      <alignment horizontal="center"/>
      <protection hidden="1"/>
    </xf>
    <xf numFmtId="0" fontId="16" fillId="0" borderId="0" xfId="0" applyFont="1" applyAlignment="1" applyProtection="1">
      <alignment/>
      <protection hidden="1"/>
    </xf>
    <xf numFmtId="0" fontId="0" fillId="0" borderId="0" xfId="0" applyBorder="1" applyAlignment="1" applyProtection="1">
      <alignment horizontal="left"/>
      <protection hidden="1"/>
    </xf>
    <xf numFmtId="11" fontId="0" fillId="0" borderId="0" xfId="0" applyNumberFormat="1" applyAlignment="1" applyProtection="1">
      <alignment/>
      <protection hidden="1"/>
    </xf>
    <xf numFmtId="11" fontId="16" fillId="0" borderId="0" xfId="0" applyNumberFormat="1" applyFont="1" applyAlignment="1" applyProtection="1">
      <alignment/>
      <protection hidden="1"/>
    </xf>
    <xf numFmtId="0" fontId="2" fillId="0" borderId="12" xfId="0" applyFont="1" applyBorder="1" applyAlignment="1" applyProtection="1">
      <alignment/>
      <protection hidden="1"/>
    </xf>
    <xf numFmtId="0" fontId="0" fillId="0" borderId="12" xfId="0" applyFont="1" applyBorder="1" applyAlignment="1" applyProtection="1">
      <alignment/>
      <protection hidden="1"/>
    </xf>
    <xf numFmtId="10" fontId="0" fillId="0" borderId="12" xfId="0" applyNumberFormat="1" applyBorder="1" applyAlignment="1" applyProtection="1">
      <alignment horizontal="center"/>
      <protection hidden="1"/>
    </xf>
    <xf numFmtId="10" fontId="0" fillId="0" borderId="0" xfId="0" applyNumberFormat="1" applyBorder="1" applyAlignment="1" applyProtection="1">
      <alignment horizontal="center"/>
      <protection hidden="1"/>
    </xf>
    <xf numFmtId="0" fontId="0" fillId="0" borderId="12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/>
      <protection hidden="1"/>
    </xf>
    <xf numFmtId="11" fontId="0" fillId="0" borderId="12" xfId="0" applyNumberFormat="1" applyBorder="1" applyAlignment="1" applyProtection="1">
      <alignment/>
      <protection hidden="1"/>
    </xf>
    <xf numFmtId="11" fontId="0" fillId="0" borderId="0" xfId="0" applyNumberFormat="1" applyBorder="1" applyAlignment="1" applyProtection="1">
      <alignment/>
      <protection hidden="1"/>
    </xf>
    <xf numFmtId="11" fontId="0" fillId="0" borderId="0" xfId="0" applyNumberFormat="1" applyFont="1" applyBorder="1" applyAlignment="1" applyProtection="1">
      <alignment/>
      <protection hidden="1"/>
    </xf>
    <xf numFmtId="11" fontId="4" fillId="0" borderId="0" xfId="0" applyNumberFormat="1" applyFont="1" applyBorder="1" applyAlignment="1" applyProtection="1">
      <alignment/>
      <protection hidden="1"/>
    </xf>
    <xf numFmtId="0" fontId="2" fillId="0" borderId="13" xfId="0" applyFont="1" applyFill="1" applyBorder="1" applyAlignment="1" applyProtection="1">
      <alignment horizontal="center"/>
      <protection hidden="1"/>
    </xf>
    <xf numFmtId="0" fontId="2" fillId="0" borderId="0" xfId="0" applyFont="1" applyFill="1" applyBorder="1" applyAlignment="1" applyProtection="1">
      <alignment horizontal="left" wrapText="1"/>
      <protection hidden="1"/>
    </xf>
    <xf numFmtId="0" fontId="2" fillId="0" borderId="0" xfId="0" applyFont="1" applyFill="1" applyBorder="1" applyAlignment="1" applyProtection="1">
      <alignment/>
      <protection hidden="1"/>
    </xf>
    <xf numFmtId="0" fontId="0" fillId="0" borderId="14" xfId="0" applyBorder="1" applyAlignment="1" applyProtection="1">
      <alignment/>
      <protection hidden="1"/>
    </xf>
    <xf numFmtId="11" fontId="2" fillId="0" borderId="15" xfId="0" applyNumberFormat="1" applyFont="1" applyBorder="1" applyAlignment="1" applyProtection="1">
      <alignment horizontal="center"/>
      <protection hidden="1"/>
    </xf>
    <xf numFmtId="11" fontId="2" fillId="0" borderId="16" xfId="0" applyNumberFormat="1" applyFont="1" applyBorder="1" applyAlignment="1" applyProtection="1">
      <alignment horizontal="center"/>
      <protection hidden="1"/>
    </xf>
    <xf numFmtId="11" fontId="2" fillId="0" borderId="17" xfId="0" applyNumberFormat="1" applyFont="1" applyBorder="1" applyAlignment="1" applyProtection="1">
      <alignment/>
      <protection hidden="1"/>
    </xf>
    <xf numFmtId="11" fontId="2" fillId="0" borderId="18" xfId="0" applyNumberFormat="1" applyFont="1" applyBorder="1" applyAlignment="1" applyProtection="1">
      <alignment horizontal="center"/>
      <protection hidden="1"/>
    </xf>
    <xf numFmtId="11" fontId="0" fillId="0" borderId="12" xfId="0" applyNumberFormat="1" applyFont="1" applyBorder="1" applyAlignment="1" applyProtection="1">
      <alignment/>
      <protection hidden="1"/>
    </xf>
    <xf numFmtId="11" fontId="0" fillId="0" borderId="12" xfId="0" applyNumberFormat="1" applyFont="1" applyBorder="1" applyAlignment="1" applyProtection="1">
      <alignment/>
      <protection hidden="1"/>
    </xf>
    <xf numFmtId="11" fontId="0" fillId="0" borderId="18" xfId="0" applyNumberFormat="1" applyFont="1" applyBorder="1" applyAlignment="1" applyProtection="1">
      <alignment/>
      <protection hidden="1"/>
    </xf>
    <xf numFmtId="0" fontId="2" fillId="0" borderId="17" xfId="0" applyFont="1" applyBorder="1" applyAlignment="1" applyProtection="1">
      <alignment/>
      <protection hidden="1"/>
    </xf>
    <xf numFmtId="0" fontId="0" fillId="34" borderId="12" xfId="0" applyFill="1" applyBorder="1" applyAlignment="1" applyProtection="1">
      <alignment/>
      <protection hidden="1"/>
    </xf>
    <xf numFmtId="0" fontId="0" fillId="0" borderId="18" xfId="0" applyBorder="1" applyAlignment="1" applyProtection="1">
      <alignment/>
      <protection hidden="1"/>
    </xf>
    <xf numFmtId="0" fontId="0" fillId="34" borderId="18" xfId="0" applyFill="1" applyBorder="1" applyAlignment="1" applyProtection="1">
      <alignment/>
      <protection hidden="1"/>
    </xf>
    <xf numFmtId="11" fontId="2" fillId="0" borderId="19" xfId="0" applyNumberFormat="1" applyFont="1" applyBorder="1" applyAlignment="1" applyProtection="1">
      <alignment/>
      <protection hidden="1"/>
    </xf>
    <xf numFmtId="11" fontId="0" fillId="0" borderId="20" xfId="0" applyNumberFormat="1" applyBorder="1" applyAlignment="1" applyProtection="1">
      <alignment/>
      <protection hidden="1"/>
    </xf>
    <xf numFmtId="11" fontId="0" fillId="0" borderId="21" xfId="0" applyNumberFormat="1" applyBorder="1" applyAlignment="1" applyProtection="1">
      <alignment/>
      <protection hidden="1"/>
    </xf>
    <xf numFmtId="11" fontId="2" fillId="0" borderId="22" xfId="0" applyNumberFormat="1" applyFont="1" applyBorder="1" applyAlignment="1" applyProtection="1">
      <alignment/>
      <protection hidden="1"/>
    </xf>
    <xf numFmtId="0" fontId="2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2" fillId="0" borderId="23" xfId="0" applyFont="1" applyBorder="1" applyAlignment="1" applyProtection="1">
      <alignment/>
      <protection hidden="1"/>
    </xf>
    <xf numFmtId="0" fontId="0" fillId="0" borderId="0" xfId="0" applyFill="1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 horizontal="center"/>
      <protection hidden="1"/>
    </xf>
    <xf numFmtId="0" fontId="2" fillId="0" borderId="25" xfId="0" applyFont="1" applyBorder="1" applyAlignment="1" applyProtection="1">
      <alignment/>
      <protection hidden="1"/>
    </xf>
    <xf numFmtId="0" fontId="2" fillId="0" borderId="26" xfId="0" applyFont="1" applyBorder="1" applyAlignment="1" applyProtection="1">
      <alignment horizontal="center"/>
      <protection hidden="1"/>
    </xf>
    <xf numFmtId="0" fontId="17" fillId="0" borderId="0" xfId="0" applyFont="1" applyFill="1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/>
      <protection hidden="1"/>
    </xf>
    <xf numFmtId="0" fontId="0" fillId="0" borderId="28" xfId="0" applyBorder="1" applyAlignment="1" applyProtection="1">
      <alignment horizontal="center"/>
      <protection hidden="1"/>
    </xf>
    <xf numFmtId="0" fontId="0" fillId="0" borderId="29" xfId="0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 horizontal="center"/>
      <protection hidden="1"/>
    </xf>
    <xf numFmtId="0" fontId="0" fillId="0" borderId="30" xfId="0" applyBorder="1" applyAlignment="1" applyProtection="1">
      <alignment horizontal="center"/>
      <protection hidden="1"/>
    </xf>
    <xf numFmtId="0" fontId="0" fillId="0" borderId="31" xfId="0" applyBorder="1" applyAlignment="1" applyProtection="1">
      <alignment horizontal="center"/>
      <protection hidden="1"/>
    </xf>
    <xf numFmtId="0" fontId="4" fillId="0" borderId="0" xfId="0" applyFont="1" applyFill="1" applyBorder="1" applyAlignment="1" applyProtection="1">
      <alignment/>
      <protection hidden="1"/>
    </xf>
    <xf numFmtId="0" fontId="0" fillId="0" borderId="32" xfId="0" applyBorder="1" applyAlignment="1" applyProtection="1">
      <alignment horizontal="center"/>
      <protection hidden="1"/>
    </xf>
    <xf numFmtId="0" fontId="0" fillId="0" borderId="33" xfId="0" applyBorder="1" applyAlignment="1" applyProtection="1">
      <alignment horizontal="center"/>
      <protection hidden="1"/>
    </xf>
    <xf numFmtId="0" fontId="0" fillId="0" borderId="20" xfId="0" applyBorder="1" applyAlignment="1" applyProtection="1">
      <alignment horizontal="center"/>
      <protection hidden="1"/>
    </xf>
    <xf numFmtId="0" fontId="2" fillId="0" borderId="24" xfId="0" applyFont="1" applyBorder="1" applyAlignment="1" applyProtection="1">
      <alignment/>
      <protection hidden="1"/>
    </xf>
    <xf numFmtId="0" fontId="2" fillId="0" borderId="34" xfId="0" applyFont="1" applyBorder="1" applyAlignment="1" applyProtection="1">
      <alignment/>
      <protection hidden="1"/>
    </xf>
    <xf numFmtId="0" fontId="0" fillId="0" borderId="29" xfId="0" applyFill="1" applyBorder="1" applyAlignment="1" applyProtection="1">
      <alignment horizontal="center"/>
      <protection hidden="1"/>
    </xf>
    <xf numFmtId="0" fontId="0" fillId="0" borderId="29" xfId="0" applyBorder="1" applyAlignment="1" applyProtection="1">
      <alignment/>
      <protection hidden="1"/>
    </xf>
    <xf numFmtId="0" fontId="0" fillId="0" borderId="12" xfId="0" applyFill="1" applyBorder="1" applyAlignment="1" applyProtection="1">
      <alignment horizontal="center"/>
      <protection hidden="1"/>
    </xf>
    <xf numFmtId="0" fontId="0" fillId="0" borderId="20" xfId="0" applyFill="1" applyBorder="1" applyAlignment="1" applyProtection="1">
      <alignment horizontal="center"/>
      <protection hidden="1"/>
    </xf>
    <xf numFmtId="0" fontId="0" fillId="0" borderId="20" xfId="0" applyBorder="1" applyAlignment="1" applyProtection="1">
      <alignment/>
      <protection hidden="1"/>
    </xf>
    <xf numFmtId="0" fontId="4" fillId="0" borderId="0" xfId="0" applyFont="1" applyFill="1" applyAlignment="1" applyProtection="1">
      <alignment/>
      <protection hidden="1"/>
    </xf>
    <xf numFmtId="0" fontId="4" fillId="0" borderId="0" xfId="0" applyFont="1" applyBorder="1" applyAlignment="1" applyProtection="1">
      <alignment/>
      <protection hidden="1"/>
    </xf>
    <xf numFmtId="10" fontId="0" fillId="0" borderId="0" xfId="0" applyNumberFormat="1" applyAlignment="1" applyProtection="1">
      <alignment/>
      <protection hidden="1"/>
    </xf>
    <xf numFmtId="10" fontId="0" fillId="33" borderId="0" xfId="0" applyNumberFormat="1" applyFill="1" applyBorder="1" applyAlignment="1" applyProtection="1">
      <alignment horizontal="center"/>
      <protection hidden="1"/>
    </xf>
    <xf numFmtId="10" fontId="0" fillId="33" borderId="12" xfId="0" applyNumberFormat="1" applyFill="1" applyBorder="1" applyAlignment="1" applyProtection="1">
      <alignment horizontal="center"/>
      <protection hidden="1"/>
    </xf>
    <xf numFmtId="10" fontId="2" fillId="0" borderId="12" xfId="0" applyNumberFormat="1" applyFont="1" applyBorder="1" applyAlignment="1" applyProtection="1">
      <alignment/>
      <protection hidden="1"/>
    </xf>
    <xf numFmtId="0" fontId="2" fillId="0" borderId="12" xfId="0" applyFont="1" applyFill="1" applyBorder="1" applyAlignment="1" applyProtection="1">
      <alignment/>
      <protection hidden="1"/>
    </xf>
    <xf numFmtId="166" fontId="0" fillId="0" borderId="0" xfId="0" applyNumberFormat="1" applyAlignment="1" applyProtection="1">
      <alignment horizontal="center"/>
      <protection hidden="1"/>
    </xf>
    <xf numFmtId="2" fontId="4" fillId="0" borderId="0" xfId="0" applyNumberFormat="1" applyFont="1" applyFill="1" applyBorder="1" applyAlignment="1" applyProtection="1">
      <alignment horizontal="center"/>
      <protection hidden="1"/>
    </xf>
    <xf numFmtId="166" fontId="7" fillId="0" borderId="0" xfId="0" applyNumberFormat="1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0" fontId="2" fillId="0" borderId="0" xfId="0" applyFont="1" applyBorder="1" applyAlignment="1" applyProtection="1">
      <alignment horizontal="left"/>
      <protection hidden="1"/>
    </xf>
    <xf numFmtId="0" fontId="0" fillId="0" borderId="0" xfId="57" applyProtection="1">
      <alignment/>
      <protection hidden="1"/>
    </xf>
    <xf numFmtId="0" fontId="0" fillId="0" borderId="0" xfId="57" applyFont="1" applyProtection="1">
      <alignment/>
      <protection hidden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ookhua\Local%20Settings\Temporary%20Internet%20Files\OLK21\EPM_MU_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932xA_Power_Sensor_Uncertainty_Calculator_rev2_web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home.agilent.com/Documents%20and%20Settings\sookhua\Local%20Settings\Temporary%20Internet%20Files\OLK21\EPM_MU_calculat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Uncertainty Calculator"/>
      <sheetName val="Sheet2"/>
      <sheetName val="Sheet3"/>
    </sheetNames>
    <sheetDataSet>
      <sheetData sheetId="1">
        <row r="2">
          <cell r="B2" t="str">
            <v>KHz</v>
          </cell>
        </row>
        <row r="3">
          <cell r="B3" t="str">
            <v>MHz</v>
          </cell>
        </row>
        <row r="4">
          <cell r="B4" t="str">
            <v>GHz</v>
          </cell>
        </row>
        <row r="8">
          <cell r="B8">
            <v>1</v>
          </cell>
        </row>
        <row r="9">
          <cell r="B9">
            <v>2</v>
          </cell>
        </row>
        <row r="10">
          <cell r="B10">
            <v>4</v>
          </cell>
        </row>
        <row r="11">
          <cell r="B11">
            <v>8</v>
          </cell>
        </row>
        <row r="12">
          <cell r="B12">
            <v>16</v>
          </cell>
        </row>
        <row r="13">
          <cell r="B13">
            <v>32</v>
          </cell>
        </row>
        <row r="14">
          <cell r="B14">
            <v>64</v>
          </cell>
        </row>
        <row r="15">
          <cell r="B15">
            <v>128</v>
          </cell>
        </row>
        <row r="16">
          <cell r="B16">
            <v>256</v>
          </cell>
        </row>
        <row r="17">
          <cell r="B17">
            <v>512</v>
          </cell>
        </row>
        <row r="18">
          <cell r="B18">
            <v>1024</v>
          </cell>
        </row>
        <row r="20">
          <cell r="B20" t="str">
            <v>Rectangular</v>
          </cell>
        </row>
        <row r="22">
          <cell r="B22" t="str">
            <v>U-Shape</v>
          </cell>
          <cell r="C22">
            <v>1.4142135623730951</v>
          </cell>
        </row>
        <row r="24">
          <cell r="B24" t="str">
            <v>15% to 75% RH</v>
          </cell>
        </row>
        <row r="25">
          <cell r="B25" t="str">
            <v>75% to 95% RH</v>
          </cell>
        </row>
        <row r="52">
          <cell r="C52" t="str">
            <v>E9300A</v>
          </cell>
          <cell r="D52" t="str">
            <v>E9301A</v>
          </cell>
          <cell r="E52" t="str">
            <v>E9304A</v>
          </cell>
          <cell r="F52" t="str">
            <v>E9300B</v>
          </cell>
          <cell r="G52" t="str">
            <v>E9301B</v>
          </cell>
          <cell r="H52" t="str">
            <v>E9300H</v>
          </cell>
          <cell r="I52" t="str">
            <v>E9301H</v>
          </cell>
          <cell r="J52" t="str">
            <v>8481A</v>
          </cell>
          <cell r="K52" t="str">
            <v>8482A</v>
          </cell>
          <cell r="L52" t="str">
            <v>8483A</v>
          </cell>
          <cell r="M52" t="str">
            <v>8485A</v>
          </cell>
          <cell r="N52" t="str">
            <v>8487A</v>
          </cell>
          <cell r="O52" t="str">
            <v>R8486A</v>
          </cell>
          <cell r="P52" t="str">
            <v>Q8486A</v>
          </cell>
          <cell r="Q52" t="str">
            <v>8481B</v>
          </cell>
          <cell r="R52" t="str">
            <v>8482B</v>
          </cell>
          <cell r="S52" t="str">
            <v>8481D</v>
          </cell>
          <cell r="T52" t="str">
            <v>8485D</v>
          </cell>
          <cell r="U52" t="str">
            <v>8487D</v>
          </cell>
          <cell r="V52" t="str">
            <v>8481H</v>
          </cell>
          <cell r="W52" t="str">
            <v>8482H</v>
          </cell>
          <cell r="X52" t="str">
            <v>R8486D</v>
          </cell>
          <cell r="Y52" t="str">
            <v>Q8486D</v>
          </cell>
          <cell r="Z52" t="str">
            <v>E4412A</v>
          </cell>
          <cell r="AA52" t="str">
            <v>E4413A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lculator"/>
      <sheetName val="Data"/>
      <sheetName val="Revision"/>
    </sheetNames>
    <sheetDataSet>
      <sheetData sheetId="1">
        <row r="5">
          <cell r="B5" t="str">
            <v>E9321A</v>
          </cell>
          <cell r="C5" t="str">
            <v>E9322A</v>
          </cell>
          <cell r="D5" t="str">
            <v>E9323A</v>
          </cell>
          <cell r="E5" t="str">
            <v>E9325A</v>
          </cell>
          <cell r="F5" t="str">
            <v>E9326A</v>
          </cell>
          <cell r="G5" t="str">
            <v>E9327A</v>
          </cell>
        </row>
        <row r="90">
          <cell r="A90" t="str">
            <v>Average Only</v>
          </cell>
          <cell r="B90" t="str">
            <v>Normal</v>
          </cell>
        </row>
        <row r="93">
          <cell r="A93" t="str">
            <v>Normal</v>
          </cell>
          <cell r="B93" t="str">
            <v>x2</v>
          </cell>
          <cell r="C93" t="str">
            <v>Fast</v>
          </cell>
        </row>
        <row r="96">
          <cell r="A96" t="str">
            <v>Free Run</v>
          </cell>
          <cell r="B96" t="str">
            <v>Trigger</v>
          </cell>
        </row>
        <row r="99">
          <cell r="A99" t="str">
            <v>Low</v>
          </cell>
          <cell r="B99" t="str">
            <v>Medium</v>
          </cell>
          <cell r="C99" t="str">
            <v>High</v>
          </cell>
          <cell r="D99" t="str">
            <v>Off</v>
          </cell>
        </row>
        <row r="102">
          <cell r="A102" t="str">
            <v>Average Only mode (EPM-P)</v>
          </cell>
        </row>
        <row r="103">
          <cell r="C103" t="str">
            <v>x2</v>
          </cell>
        </row>
        <row r="104">
          <cell r="A104">
            <v>1</v>
          </cell>
        </row>
        <row r="105">
          <cell r="A105">
            <v>2</v>
          </cell>
        </row>
        <row r="106">
          <cell r="A106">
            <v>4</v>
          </cell>
        </row>
        <row r="107">
          <cell r="A107">
            <v>8</v>
          </cell>
        </row>
        <row r="108">
          <cell r="A108">
            <v>16</v>
          </cell>
        </row>
        <row r="109">
          <cell r="A109">
            <v>32</v>
          </cell>
        </row>
        <row r="110">
          <cell r="A110">
            <v>64</v>
          </cell>
        </row>
        <row r="111">
          <cell r="A111">
            <v>128</v>
          </cell>
        </row>
        <row r="112">
          <cell r="A112">
            <v>256</v>
          </cell>
        </row>
        <row r="113">
          <cell r="A113">
            <v>512</v>
          </cell>
        </row>
        <row r="114">
          <cell r="A114">
            <v>1024</v>
          </cell>
        </row>
        <row r="200">
          <cell r="B200" t="str">
            <v>EPM-P</v>
          </cell>
          <cell r="C200" t="str">
            <v>P-Series</v>
          </cell>
        </row>
        <row r="204">
          <cell r="A204" t="str">
            <v>Rectangular</v>
          </cell>
        </row>
        <row r="205">
          <cell r="A205" t="str">
            <v>Gaussian</v>
          </cell>
        </row>
        <row r="206">
          <cell r="A206" t="str">
            <v>U-shape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Uncertainty Calculator"/>
      <sheetName val="Sheet2"/>
      <sheetName val="Sheet3"/>
    </sheetNames>
    <sheetDataSet>
      <sheetData sheetId="1">
        <row r="2">
          <cell r="B2" t="str">
            <v>KHz</v>
          </cell>
        </row>
        <row r="3">
          <cell r="B3" t="str">
            <v>MHz</v>
          </cell>
        </row>
        <row r="4">
          <cell r="B4" t="str">
            <v>GHz</v>
          </cell>
        </row>
        <row r="8">
          <cell r="B8">
            <v>1</v>
          </cell>
        </row>
        <row r="9">
          <cell r="B9">
            <v>2</v>
          </cell>
        </row>
        <row r="10">
          <cell r="B10">
            <v>4</v>
          </cell>
        </row>
        <row r="11">
          <cell r="B11">
            <v>8</v>
          </cell>
        </row>
        <row r="12">
          <cell r="B12">
            <v>16</v>
          </cell>
        </row>
        <row r="13">
          <cell r="B13">
            <v>32</v>
          </cell>
        </row>
        <row r="14">
          <cell r="B14">
            <v>64</v>
          </cell>
        </row>
        <row r="15">
          <cell r="B15">
            <v>128</v>
          </cell>
        </row>
        <row r="16">
          <cell r="B16">
            <v>256</v>
          </cell>
        </row>
        <row r="17">
          <cell r="B17">
            <v>512</v>
          </cell>
        </row>
        <row r="18">
          <cell r="B18">
            <v>1024</v>
          </cell>
        </row>
        <row r="20">
          <cell r="B20" t="str">
            <v>Rectangular</v>
          </cell>
        </row>
        <row r="22">
          <cell r="B22" t="str">
            <v>U-Shape</v>
          </cell>
          <cell r="C22">
            <v>1.4142135623730951</v>
          </cell>
        </row>
        <row r="24">
          <cell r="B24" t="str">
            <v>15% to 75% RH</v>
          </cell>
        </row>
        <row r="25">
          <cell r="B25" t="str">
            <v>75% to 95% RH</v>
          </cell>
        </row>
        <row r="52">
          <cell r="C52" t="str">
            <v>E9300A</v>
          </cell>
          <cell r="D52" t="str">
            <v>E9301A</v>
          </cell>
          <cell r="E52" t="str">
            <v>E9304A</v>
          </cell>
          <cell r="F52" t="str">
            <v>E9300B</v>
          </cell>
          <cell r="G52" t="str">
            <v>E9301B</v>
          </cell>
          <cell r="H52" t="str">
            <v>E9300H</v>
          </cell>
          <cell r="I52" t="str">
            <v>E9301H</v>
          </cell>
          <cell r="J52" t="str">
            <v>8481A</v>
          </cell>
          <cell r="K52" t="str">
            <v>8482A</v>
          </cell>
          <cell r="L52" t="str">
            <v>8483A</v>
          </cell>
          <cell r="M52" t="str">
            <v>8485A</v>
          </cell>
          <cell r="N52" t="str">
            <v>8487A</v>
          </cell>
          <cell r="O52" t="str">
            <v>R8486A</v>
          </cell>
          <cell r="P52" t="str">
            <v>Q8486A</v>
          </cell>
          <cell r="Q52" t="str">
            <v>8481B</v>
          </cell>
          <cell r="R52" t="str">
            <v>8482B</v>
          </cell>
          <cell r="S52" t="str">
            <v>8481D</v>
          </cell>
          <cell r="T52" t="str">
            <v>8485D</v>
          </cell>
          <cell r="U52" t="str">
            <v>8487D</v>
          </cell>
          <cell r="V52" t="str">
            <v>8481H</v>
          </cell>
          <cell r="W52" t="str">
            <v>8482H</v>
          </cell>
          <cell r="X52" t="str">
            <v>R8486D</v>
          </cell>
          <cell r="Y52" t="str">
            <v>Q8486D</v>
          </cell>
          <cell r="Z52" t="str">
            <v>E4412A</v>
          </cell>
          <cell r="AA52" t="str">
            <v>E4413A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9"/>
  <sheetViews>
    <sheetView tabSelected="1" zoomScalePageLayoutView="0" workbookViewId="0" topLeftCell="A1">
      <selection activeCell="C13" sqref="C13"/>
    </sheetView>
  </sheetViews>
  <sheetFormatPr defaultColWidth="9.140625" defaultRowHeight="12.75"/>
  <cols>
    <col min="1" max="1" width="61.8515625" style="0" customWidth="1"/>
    <col min="2" max="2" width="19.7109375" style="0" customWidth="1"/>
    <col min="3" max="3" width="15.57421875" style="0" customWidth="1"/>
    <col min="4" max="4" width="28.140625" style="0" customWidth="1"/>
    <col min="5" max="5" width="23.00390625" style="0" customWidth="1"/>
    <col min="6" max="6" width="18.00390625" style="0" customWidth="1"/>
    <col min="8" max="8" width="14.7109375" style="0" bestFit="1" customWidth="1"/>
  </cols>
  <sheetData>
    <row r="1" spans="1:6" ht="15.75">
      <c r="A1" s="22" t="s">
        <v>115</v>
      </c>
      <c r="B1" s="23"/>
      <c r="C1" s="23"/>
      <c r="D1" s="23"/>
      <c r="E1" s="23"/>
      <c r="F1" s="23"/>
    </row>
    <row r="2" spans="1:6" ht="12.75">
      <c r="A2" s="23"/>
      <c r="B2" s="23"/>
      <c r="C2" s="23"/>
      <c r="D2" s="23"/>
      <c r="E2" s="23"/>
      <c r="F2" s="23"/>
    </row>
    <row r="3" spans="1:8" ht="12.75">
      <c r="A3" s="24" t="s">
        <v>1</v>
      </c>
      <c r="B3" s="36" t="s">
        <v>2</v>
      </c>
      <c r="C3" s="37"/>
      <c r="D3" s="37"/>
      <c r="E3" s="38"/>
      <c r="F3" s="33"/>
      <c r="H3" s="1"/>
    </row>
    <row r="4" spans="1:8" ht="12.75">
      <c r="A4" s="25" t="s">
        <v>3</v>
      </c>
      <c r="B4" s="11">
        <v>1.1</v>
      </c>
      <c r="C4" s="39"/>
      <c r="D4" s="39"/>
      <c r="E4" s="38"/>
      <c r="F4" s="33"/>
      <c r="H4" s="2"/>
    </row>
    <row r="5" spans="1:19" ht="12.75">
      <c r="A5" s="25" t="s">
        <v>4</v>
      </c>
      <c r="B5" s="12" t="s">
        <v>65</v>
      </c>
      <c r="C5" s="37"/>
      <c r="D5" s="40"/>
      <c r="E5" s="40"/>
      <c r="F5" s="33"/>
      <c r="G5" s="4"/>
      <c r="H5" s="2"/>
      <c r="I5" s="4"/>
      <c r="J5" s="4"/>
      <c r="K5" s="2"/>
      <c r="L5" s="5"/>
      <c r="M5" s="2"/>
      <c r="N5" s="5"/>
      <c r="O5" s="5"/>
      <c r="P5" s="5"/>
      <c r="Q5" s="5"/>
      <c r="R5" s="5"/>
      <c r="S5" s="5"/>
    </row>
    <row r="6" spans="1:19" ht="12.75">
      <c r="A6" s="25" t="s">
        <v>61</v>
      </c>
      <c r="B6" s="12" t="s">
        <v>55</v>
      </c>
      <c r="C6" s="37"/>
      <c r="D6" s="40"/>
      <c r="E6" s="40"/>
      <c r="F6" s="33"/>
      <c r="G6" s="4"/>
      <c r="H6" s="1"/>
      <c r="I6" s="4"/>
      <c r="J6" s="4"/>
      <c r="K6" s="2"/>
      <c r="L6" s="5"/>
      <c r="M6" s="2"/>
      <c r="N6" s="5"/>
      <c r="O6" s="5"/>
      <c r="P6" s="5"/>
      <c r="Q6" s="5"/>
      <c r="R6" s="5"/>
      <c r="S6" s="5"/>
    </row>
    <row r="7" spans="1:17" ht="12.75">
      <c r="A7" s="25" t="s">
        <v>0</v>
      </c>
      <c r="B7" s="11">
        <v>3</v>
      </c>
      <c r="C7" s="41" t="s">
        <v>5</v>
      </c>
      <c r="D7" s="42" t="str">
        <f>VLOOKUP(B5,Data!A211:B216,2,FALSE)</f>
        <v> </v>
      </c>
      <c r="E7" s="42"/>
      <c r="F7" s="33"/>
      <c r="G7" s="4"/>
      <c r="H7" s="1"/>
      <c r="I7" s="4"/>
      <c r="J7" s="4"/>
      <c r="K7" s="4"/>
      <c r="L7" s="4"/>
      <c r="M7" s="4"/>
      <c r="N7" s="4"/>
      <c r="O7" s="4"/>
      <c r="P7" s="4"/>
      <c r="Q7" s="4"/>
    </row>
    <row r="8" spans="1:17" ht="12.75">
      <c r="A8" s="25" t="s">
        <v>6</v>
      </c>
      <c r="B8" s="11">
        <v>0</v>
      </c>
      <c r="C8" s="41" t="s">
        <v>7</v>
      </c>
      <c r="D8" s="42" t="str">
        <f>VLOOKUP(B5,Data!A219:B224,2,FALSE)</f>
        <v> </v>
      </c>
      <c r="E8" s="43">
        <f>10^(B8/10)/1000</f>
        <v>0.001</v>
      </c>
      <c r="F8" s="44" t="s">
        <v>37</v>
      </c>
      <c r="G8" s="4"/>
      <c r="H8" s="1"/>
      <c r="I8" s="4"/>
      <c r="J8" s="4"/>
      <c r="K8" s="4"/>
      <c r="L8" s="4"/>
      <c r="M8" s="4"/>
      <c r="N8" s="4"/>
      <c r="O8" s="4"/>
      <c r="P8" s="4"/>
      <c r="Q8" s="4"/>
    </row>
    <row r="9" spans="1:17" ht="12.75">
      <c r="A9" s="25" t="s">
        <v>8</v>
      </c>
      <c r="B9" s="11">
        <v>8</v>
      </c>
      <c r="C9" s="45"/>
      <c r="D9" s="46"/>
      <c r="E9" s="46"/>
      <c r="F9" s="33"/>
      <c r="G9" s="4"/>
      <c r="H9" s="3"/>
      <c r="I9" s="4"/>
      <c r="J9" s="4"/>
      <c r="K9" s="4"/>
      <c r="L9" s="4"/>
      <c r="M9" s="4"/>
      <c r="N9" s="4"/>
      <c r="O9" s="4"/>
      <c r="P9" s="4"/>
      <c r="Q9" s="4"/>
    </row>
    <row r="10" spans="1:17" ht="12.75">
      <c r="A10" s="26" t="s">
        <v>86</v>
      </c>
      <c r="B10" s="13" t="s">
        <v>70</v>
      </c>
      <c r="C10" s="47" t="str">
        <f>IF(AND(B6="P-Series",B10="x2"),"No x2 setting for P-Series!"," ")</f>
        <v> </v>
      </c>
      <c r="D10" s="48"/>
      <c r="E10" s="48"/>
      <c r="F10" s="33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</row>
    <row r="11" spans="1:17" ht="12.75">
      <c r="A11" s="26" t="s">
        <v>84</v>
      </c>
      <c r="B11" s="15" t="s">
        <v>43</v>
      </c>
      <c r="C11" s="47"/>
      <c r="D11" s="49" t="str">
        <f>IF(AND(B10="Average Only",B11="Fast"),"Invalid Input!"," ")</f>
        <v> </v>
      </c>
      <c r="E11" s="48"/>
      <c r="F11" s="33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</row>
    <row r="12" spans="1:17" ht="12.75">
      <c r="A12" s="26" t="s">
        <v>119</v>
      </c>
      <c r="B12" s="15"/>
      <c r="C12" s="47"/>
      <c r="D12" s="49"/>
      <c r="E12" s="48"/>
      <c r="F12" s="33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</row>
    <row r="13" spans="1:17" ht="12.75">
      <c r="A13" s="27" t="s">
        <v>114</v>
      </c>
      <c r="B13" s="16" t="s">
        <v>94</v>
      </c>
      <c r="C13" s="47"/>
      <c r="D13" s="48"/>
      <c r="E13" s="48"/>
      <c r="F13" s="33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</row>
    <row r="14" spans="1:17" ht="12.75">
      <c r="A14" s="27" t="s">
        <v>101</v>
      </c>
      <c r="B14" s="16" t="s">
        <v>100</v>
      </c>
      <c r="C14" s="47"/>
      <c r="D14" s="48"/>
      <c r="E14" s="48"/>
      <c r="F14" s="33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</row>
    <row r="15" spans="1:17" ht="12.75">
      <c r="A15" s="27" t="s">
        <v>120</v>
      </c>
      <c r="B15" s="17">
        <v>0.0005</v>
      </c>
      <c r="C15" s="50" t="s">
        <v>104</v>
      </c>
      <c r="D15" s="48"/>
      <c r="E15" s="48"/>
      <c r="F15" s="33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</row>
    <row r="16" spans="1:17" ht="12.75">
      <c r="A16" s="23"/>
      <c r="B16" s="9"/>
      <c r="C16" s="48"/>
      <c r="D16" s="48"/>
      <c r="E16" s="48"/>
      <c r="F16" s="33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</row>
    <row r="17" spans="1:17" ht="12.75">
      <c r="A17" s="28" t="s">
        <v>9</v>
      </c>
      <c r="B17" s="28" t="s">
        <v>10</v>
      </c>
      <c r="C17" s="51" t="s">
        <v>11</v>
      </c>
      <c r="D17" s="51" t="s">
        <v>12</v>
      </c>
      <c r="E17" s="51" t="s">
        <v>62</v>
      </c>
      <c r="F17" s="52" t="s">
        <v>13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</row>
    <row r="18" spans="1:17" ht="12.75">
      <c r="A18" s="29" t="s">
        <v>14</v>
      </c>
      <c r="B18" s="30" t="s">
        <v>15</v>
      </c>
      <c r="C18" s="64" t="str">
        <f>"|Гg| = "&amp;TEXT(Data!B197,"0.000")</f>
        <v>|Гg| = 0.048</v>
      </c>
      <c r="D18" s="18" t="s">
        <v>42</v>
      </c>
      <c r="E18" s="69">
        <f>VLOOKUP(D18,Data!$A$205:$B$207,2,FALSE)</f>
        <v>1.4142135623730951</v>
      </c>
      <c r="F18" s="54">
        <f>2*Data!B197*Data!B198/calculator!E18</f>
        <v>0.004988407627418325</v>
      </c>
      <c r="G18" s="4"/>
      <c r="H18" s="6"/>
      <c r="I18" s="4"/>
      <c r="J18" s="4"/>
      <c r="K18" s="4"/>
      <c r="L18" s="4"/>
      <c r="M18" s="4"/>
      <c r="N18" s="4"/>
      <c r="O18" s="4"/>
      <c r="P18" s="4"/>
      <c r="Q18" s="4"/>
    </row>
    <row r="19" spans="1:17" ht="12.75">
      <c r="A19" s="29"/>
      <c r="B19" s="30"/>
      <c r="C19" s="65" t="str">
        <f>"|Гs| = "&amp;TEXT(Data!B198,"0.000")</f>
        <v>|Гs| = 0.074</v>
      </c>
      <c r="D19" s="19"/>
      <c r="E19" s="69"/>
      <c r="F19" s="30"/>
      <c r="G19" s="4"/>
      <c r="H19" s="5"/>
      <c r="I19" s="4"/>
      <c r="J19" s="4"/>
      <c r="K19" s="4"/>
      <c r="L19" s="4"/>
      <c r="M19" s="4"/>
      <c r="N19" s="4"/>
      <c r="O19" s="4"/>
      <c r="P19" s="4"/>
      <c r="Q19" s="4"/>
    </row>
    <row r="20" spans="1:17" ht="12.75">
      <c r="A20" s="30" t="s">
        <v>46</v>
      </c>
      <c r="B20" s="30" t="s">
        <v>50</v>
      </c>
      <c r="C20" s="65" t="str">
        <f>"|Гc| = "&amp;TEXT(HLOOKUP(B6,Data!B201:C203,3),"0.000")</f>
        <v>|Гc| = 0.029</v>
      </c>
      <c r="D20" s="19" t="s">
        <v>42</v>
      </c>
      <c r="E20" s="69">
        <f>VLOOKUP(D20,Data!$A$207:$B$209,2,FALSE)</f>
        <v>1.4142135623730951</v>
      </c>
      <c r="F20" s="54">
        <f>2*Data!B199*Data!B196/calculator!E20</f>
        <v>0.0023315482801534856</v>
      </c>
      <c r="G20" s="4"/>
      <c r="H20" s="6"/>
      <c r="I20" s="4"/>
      <c r="J20" s="4"/>
      <c r="K20" s="4"/>
      <c r="L20" s="4"/>
      <c r="M20" s="4"/>
      <c r="N20" s="4"/>
      <c r="O20" s="4"/>
      <c r="P20" s="4"/>
      <c r="Q20" s="4"/>
    </row>
    <row r="21" spans="1:17" ht="12.75">
      <c r="A21" s="30"/>
      <c r="B21" s="30"/>
      <c r="C21" s="65" t="str">
        <f>"|Гsc| = "&amp;TEXT(Data!B196,"0.000")</f>
        <v>|Гsc| = 0.057</v>
      </c>
      <c r="D21" s="19"/>
      <c r="E21" s="69"/>
      <c r="F21" s="30"/>
      <c r="G21" s="4"/>
      <c r="H21" s="6"/>
      <c r="I21" s="4"/>
      <c r="J21" s="4"/>
      <c r="K21" s="4"/>
      <c r="L21" s="4"/>
      <c r="M21" s="4"/>
      <c r="N21" s="4"/>
      <c r="O21" s="4"/>
      <c r="P21" s="4"/>
      <c r="Q21" s="4"/>
    </row>
    <row r="22" spans="1:17" ht="15.75">
      <c r="A22" s="31" t="s">
        <v>47</v>
      </c>
      <c r="B22" s="53" t="s">
        <v>51</v>
      </c>
      <c r="C22" s="66">
        <f>INDEX(Data!I3:N5,MATCH(calculator!B6,Data!I3:I5,1),MATCH(Data!I7,Data!I3:N3,0))</f>
        <v>0.005</v>
      </c>
      <c r="D22" s="20" t="s">
        <v>19</v>
      </c>
      <c r="E22" s="53">
        <f>VLOOKUP(D22,Data!$A$205:$B$207,2,FALSE)</f>
        <v>2</v>
      </c>
      <c r="F22" s="55">
        <f>C22/E22</f>
        <v>0.0025</v>
      </c>
      <c r="G22" s="4"/>
      <c r="H22" s="6"/>
      <c r="I22" s="4"/>
      <c r="J22" s="4"/>
      <c r="K22" s="4"/>
      <c r="L22" s="4"/>
      <c r="M22" s="4"/>
      <c r="N22" s="4"/>
      <c r="O22" s="4"/>
      <c r="P22" s="4"/>
      <c r="Q22" s="4"/>
    </row>
    <row r="23" spans="1:17" ht="15.75">
      <c r="A23" s="32" t="s">
        <v>48</v>
      </c>
      <c r="B23" s="53" t="s">
        <v>52</v>
      </c>
      <c r="C23" s="66">
        <f>INDEX(Data!I3:N5,MATCH(calculator!B6,Data!I3:I5,1),MATCH(Data!I8,Data!I3:N3,0))</f>
        <v>0.005</v>
      </c>
      <c r="D23" s="20" t="s">
        <v>19</v>
      </c>
      <c r="E23" s="53">
        <f>VLOOKUP(D23,Data!$A$205:$B$207,2,FALSE)</f>
        <v>2</v>
      </c>
      <c r="F23" s="55">
        <f>C23/E23</f>
        <v>0.0025</v>
      </c>
      <c r="G23" s="4"/>
      <c r="H23" s="6"/>
      <c r="I23" s="4"/>
      <c r="J23" s="4"/>
      <c r="K23" s="4"/>
      <c r="L23" s="4"/>
      <c r="M23" s="4"/>
      <c r="N23" s="4"/>
      <c r="O23" s="4"/>
      <c r="P23" s="4"/>
      <c r="Q23" s="4"/>
    </row>
    <row r="24" spans="1:17" ht="15.75">
      <c r="A24" s="32" t="s">
        <v>49</v>
      </c>
      <c r="B24" s="53" t="s">
        <v>53</v>
      </c>
      <c r="C24" s="66">
        <f>INDEX(Data!I3:N5,MATCH(calculator!B6,Data!I3:I5,1),MATCH(A24,Data!I3:N3,0))</f>
        <v>0.005</v>
      </c>
      <c r="D24" s="20" t="s">
        <v>19</v>
      </c>
      <c r="E24" s="53">
        <f>VLOOKUP(D24,Data!$A$205:$B$207,2,FALSE)</f>
        <v>2</v>
      </c>
      <c r="F24" s="55">
        <f>C24/E24</f>
        <v>0.0025</v>
      </c>
      <c r="G24" s="4"/>
      <c r="H24" s="6"/>
      <c r="I24" s="4"/>
      <c r="J24" s="4"/>
      <c r="K24" s="4"/>
      <c r="L24" s="4"/>
      <c r="M24" s="4"/>
      <c r="N24" s="4"/>
      <c r="O24" s="4"/>
      <c r="P24" s="4"/>
      <c r="Q24" s="4"/>
    </row>
    <row r="25" spans="1:17" ht="15" customHeight="1">
      <c r="A25" s="33" t="s">
        <v>36</v>
      </c>
      <c r="B25" s="53" t="s">
        <v>17</v>
      </c>
      <c r="C25" s="67">
        <f>INDEX(Data!A54:C60,MATCH(calculator!B5,Data!A54:A60,1),MATCH(calculator!B10,Data!A54:C54,0))</f>
        <v>6E-11</v>
      </c>
      <c r="D25" s="21" t="s">
        <v>19</v>
      </c>
      <c r="E25" s="53">
        <f>VLOOKUP(D25,Data!$A$205:$B$207,2,FALSE)</f>
        <v>2</v>
      </c>
      <c r="F25" s="56">
        <f>C25/E8/E25</f>
        <v>3E-08</v>
      </c>
      <c r="G25" s="4"/>
      <c r="H25" s="6"/>
      <c r="I25" s="4"/>
      <c r="J25" s="4"/>
      <c r="K25" s="4"/>
      <c r="L25" s="4"/>
      <c r="M25" s="4"/>
      <c r="N25" s="4"/>
      <c r="O25" s="4"/>
      <c r="P25" s="4"/>
      <c r="Q25" s="4"/>
    </row>
    <row r="26" spans="1:17" ht="15.75">
      <c r="A26" s="33" t="s">
        <v>45</v>
      </c>
      <c r="B26" s="53" t="s">
        <v>18</v>
      </c>
      <c r="C26" s="68">
        <f>IF(B8&gt;0,Data!J163,Data!K163)</f>
        <v>0.021</v>
      </c>
      <c r="D26" s="21" t="s">
        <v>19</v>
      </c>
      <c r="E26" s="53">
        <f>VLOOKUP(D26,Data!$A$205:$B$207,2,FALSE)</f>
        <v>2</v>
      </c>
      <c r="F26" s="56">
        <f>C26/E26</f>
        <v>0.0105</v>
      </c>
      <c r="G26" s="4"/>
      <c r="H26" s="6"/>
      <c r="I26" s="4"/>
      <c r="J26" s="4"/>
      <c r="K26" s="4"/>
      <c r="L26" s="4"/>
      <c r="M26" s="4"/>
      <c r="N26" s="4"/>
      <c r="O26" s="4"/>
      <c r="P26" s="4"/>
      <c r="Q26" s="4"/>
    </row>
    <row r="27" spans="1:17" ht="15.75">
      <c r="A27" s="33" t="s">
        <v>20</v>
      </c>
      <c r="B27" s="53" t="s">
        <v>21</v>
      </c>
      <c r="C27" s="68">
        <f>INDEX(Data!A24:C42,MATCH(calculator!B8,Data!A24:A42,1),MATCH(calculator!B10,Data!A24:C24,0))</f>
        <v>0.037</v>
      </c>
      <c r="D27" s="21" t="s">
        <v>19</v>
      </c>
      <c r="E27" s="53">
        <f>VLOOKUP(D27,Data!$A$205:$B$207,2,FALSE)</f>
        <v>2</v>
      </c>
      <c r="F27" s="56">
        <f>C27/E27</f>
        <v>0.0185</v>
      </c>
      <c r="G27" s="4"/>
      <c r="H27" s="6"/>
      <c r="I27" s="4"/>
      <c r="J27" s="4"/>
      <c r="K27" s="4"/>
      <c r="L27" s="4"/>
      <c r="M27" s="4"/>
      <c r="N27" s="4"/>
      <c r="O27" s="4"/>
      <c r="P27" s="4"/>
      <c r="Q27" s="4"/>
    </row>
    <row r="28" spans="1:17" ht="15.75">
      <c r="A28" s="33" t="s">
        <v>38</v>
      </c>
      <c r="B28" s="53" t="s">
        <v>22</v>
      </c>
      <c r="C28" s="67">
        <f>INDEX(Data!B45:D51,MATCH(calculator!B5,Data!B45:B51,1),MATCH(calculator!B10,Data!B45:D45,0))</f>
        <v>1.7E-10</v>
      </c>
      <c r="D28" s="21" t="s">
        <v>19</v>
      </c>
      <c r="E28" s="53">
        <f>VLOOKUP(D28,Data!$A$205:$B$207,2,FALSE)</f>
        <v>2</v>
      </c>
      <c r="F28" s="56">
        <f>C28/E8/E28</f>
        <v>8.500000000000001E-08</v>
      </c>
      <c r="G28" s="4"/>
      <c r="H28" s="6"/>
      <c r="I28" s="4"/>
      <c r="J28" s="4"/>
      <c r="K28" s="4"/>
      <c r="L28" s="4"/>
      <c r="M28" s="4"/>
      <c r="N28" s="4"/>
      <c r="O28" s="4"/>
      <c r="P28" s="4"/>
      <c r="Q28" s="4"/>
    </row>
    <row r="29" spans="1:17" ht="12.75">
      <c r="A29" s="33" t="s">
        <v>39</v>
      </c>
      <c r="B29" s="53" t="s">
        <v>23</v>
      </c>
      <c r="C29" s="67">
        <f>Data!F69</f>
        <v>3.201E-10</v>
      </c>
      <c r="D29" s="21" t="s">
        <v>19</v>
      </c>
      <c r="E29" s="53">
        <f>VLOOKUP(D29,Data!$A$205:$B$207,2,FALSE)</f>
        <v>2</v>
      </c>
      <c r="F29" s="56">
        <f>C29/calculator!E8/E29</f>
        <v>1.6005E-07</v>
      </c>
      <c r="G29" s="4"/>
      <c r="H29" s="6"/>
      <c r="I29" s="4"/>
      <c r="J29" s="4"/>
      <c r="K29" s="4"/>
      <c r="L29" s="4"/>
      <c r="M29" s="4"/>
      <c r="N29" s="4"/>
      <c r="O29" s="4"/>
      <c r="P29" s="4"/>
      <c r="Q29" s="4"/>
    </row>
    <row r="30" spans="1:6" ht="12.75">
      <c r="A30" s="33"/>
      <c r="B30" s="33"/>
      <c r="C30" s="9"/>
      <c r="D30" s="9"/>
      <c r="E30" s="38"/>
      <c r="F30" s="57"/>
    </row>
    <row r="31" spans="1:6" ht="12.75">
      <c r="A31" s="33"/>
      <c r="B31" s="33"/>
      <c r="C31" s="10"/>
      <c r="D31" s="61" t="s">
        <v>24</v>
      </c>
      <c r="E31" s="62" t="s">
        <v>25</v>
      </c>
      <c r="F31" s="58">
        <f>((F18^2+F20^2+F22^2+F23^2+F24^2+F25^2+F26^2+F27^2+F28^2+F29^2))^0.5</f>
        <v>0.0223957658514665</v>
      </c>
    </row>
    <row r="32" spans="1:6" ht="12.75">
      <c r="A32" s="33"/>
      <c r="B32" s="33"/>
      <c r="C32" s="14"/>
      <c r="D32" s="61" t="s">
        <v>26</v>
      </c>
      <c r="E32" s="38" t="s">
        <v>25</v>
      </c>
      <c r="F32" s="59">
        <v>2</v>
      </c>
    </row>
    <row r="33" spans="1:6" ht="12.75">
      <c r="A33" s="33"/>
      <c r="B33" s="10"/>
      <c r="C33" s="10"/>
      <c r="D33" s="61" t="s">
        <v>27</v>
      </c>
      <c r="E33" s="62" t="s">
        <v>25</v>
      </c>
      <c r="F33" s="58">
        <f>F31*F32</f>
        <v>0.044791531702933</v>
      </c>
    </row>
    <row r="34" spans="1:6" ht="12.75">
      <c r="A34" s="33"/>
      <c r="B34" s="10"/>
      <c r="C34" s="9"/>
      <c r="D34" s="63" t="s">
        <v>28</v>
      </c>
      <c r="E34" s="38" t="s">
        <v>25</v>
      </c>
      <c r="F34" s="60" t="str">
        <f>"+ "&amp;TEXT(ABS(10*LOG((1+F33),10)),"0.000")&amp;"dB "</f>
        <v>+ 0.190dB </v>
      </c>
    </row>
    <row r="35" spans="1:6" ht="12.75">
      <c r="A35" s="33"/>
      <c r="B35" s="10"/>
      <c r="C35" s="9"/>
      <c r="D35" s="63" t="s">
        <v>29</v>
      </c>
      <c r="E35" s="38" t="s">
        <v>25</v>
      </c>
      <c r="F35" s="60" t="str">
        <f>"− "&amp;TEXT(ABS(10*LOG((1-F33),10)),"0.000")&amp;"dB "</f>
        <v>− 0.199dB </v>
      </c>
    </row>
    <row r="36" spans="1:6" ht="12.75">
      <c r="A36" s="33"/>
      <c r="B36" s="10"/>
      <c r="C36" s="10"/>
      <c r="D36" s="33"/>
      <c r="E36" s="33"/>
      <c r="F36" s="10"/>
    </row>
    <row r="37" spans="1:6" ht="12.75">
      <c r="A37" s="34" t="s">
        <v>130</v>
      </c>
      <c r="B37" s="8"/>
      <c r="C37" s="8"/>
      <c r="D37" s="8"/>
      <c r="E37" s="8"/>
      <c r="F37" s="8"/>
    </row>
    <row r="38" spans="1:6" ht="12.75">
      <c r="A38" s="34" t="s">
        <v>131</v>
      </c>
      <c r="B38" s="8"/>
      <c r="C38" s="8"/>
      <c r="D38" s="8"/>
      <c r="E38" s="8"/>
      <c r="F38" s="8"/>
    </row>
    <row r="39" spans="1:6" ht="12.75">
      <c r="A39" s="23"/>
      <c r="B39" s="8"/>
      <c r="C39" s="8"/>
      <c r="D39" s="8"/>
      <c r="E39" s="8"/>
      <c r="F39" s="8"/>
    </row>
    <row r="40" spans="1:6" ht="12.75">
      <c r="A40" s="35" t="s">
        <v>87</v>
      </c>
      <c r="B40" s="8"/>
      <c r="C40" s="8"/>
      <c r="D40" s="8"/>
      <c r="E40" s="8"/>
      <c r="F40" s="8"/>
    </row>
    <row r="41" spans="1:6" ht="12.75">
      <c r="A41" s="23" t="s">
        <v>90</v>
      </c>
      <c r="B41" s="8"/>
      <c r="C41" s="8"/>
      <c r="D41" s="8"/>
      <c r="E41" s="8"/>
      <c r="F41" s="8"/>
    </row>
    <row r="42" spans="1:6" ht="12.75">
      <c r="A42" s="23" t="s">
        <v>88</v>
      </c>
      <c r="B42" s="8"/>
      <c r="C42" s="8"/>
      <c r="D42" s="8"/>
      <c r="E42" s="8"/>
      <c r="F42" s="8"/>
    </row>
    <row r="43" spans="1:6" ht="12.75">
      <c r="A43" s="23" t="s">
        <v>89</v>
      </c>
      <c r="B43" s="8"/>
      <c r="C43" s="8"/>
      <c r="D43" s="8"/>
      <c r="E43" s="8"/>
      <c r="F43" s="8"/>
    </row>
    <row r="44" spans="1:6" ht="12.75">
      <c r="A44" s="23"/>
      <c r="B44" s="8"/>
      <c r="C44" s="8"/>
      <c r="D44" s="8"/>
      <c r="E44" s="8"/>
      <c r="F44" s="8"/>
    </row>
    <row r="45" spans="1:6" ht="12.75">
      <c r="A45" s="8"/>
      <c r="B45" s="8"/>
      <c r="C45" s="8"/>
      <c r="D45" s="8"/>
      <c r="E45" s="8"/>
      <c r="F45" s="8"/>
    </row>
    <row r="46" spans="1:6" ht="12.75">
      <c r="A46" s="8"/>
      <c r="B46" s="8"/>
      <c r="C46" s="8"/>
      <c r="D46" s="8"/>
      <c r="E46" s="8"/>
      <c r="F46" s="8"/>
    </row>
    <row r="47" spans="1:6" ht="12.75">
      <c r="A47" s="8"/>
      <c r="B47" s="8"/>
      <c r="C47" s="8"/>
      <c r="D47" s="8"/>
      <c r="E47" s="8"/>
      <c r="F47" s="8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59" spans="1:6" ht="12.75">
      <c r="A59" s="8"/>
      <c r="B59" s="8"/>
      <c r="C59" s="8"/>
      <c r="D59" s="8"/>
      <c r="E59" s="8"/>
      <c r="F59" s="8"/>
    </row>
    <row r="60" spans="1:6" ht="12.75">
      <c r="A60" s="8"/>
      <c r="B60" s="8"/>
      <c r="C60" s="8"/>
      <c r="D60" s="8"/>
      <c r="E60" s="8"/>
      <c r="F60" s="8"/>
    </row>
    <row r="61" spans="1:6" ht="12.75">
      <c r="A61" s="8"/>
      <c r="B61" s="8"/>
      <c r="C61" s="8"/>
      <c r="D61" s="8"/>
      <c r="E61" s="8"/>
      <c r="F61" s="8"/>
    </row>
    <row r="62" spans="1:6" ht="12.75">
      <c r="A62" s="8"/>
      <c r="B62" s="8"/>
      <c r="C62" s="8"/>
      <c r="D62" s="8"/>
      <c r="E62" s="8"/>
      <c r="F62" s="8"/>
    </row>
    <row r="63" spans="1:6" ht="12.75">
      <c r="A63" s="8"/>
      <c r="B63" s="8"/>
      <c r="C63" s="8"/>
      <c r="D63" s="8"/>
      <c r="E63" s="8"/>
      <c r="F63" s="8"/>
    </row>
    <row r="64" spans="1:6" ht="12.75">
      <c r="A64" s="8"/>
      <c r="B64" s="8"/>
      <c r="C64" s="8"/>
      <c r="D64" s="8"/>
      <c r="E64" s="8"/>
      <c r="F64" s="8"/>
    </row>
    <row r="65" spans="1:6" ht="12.75">
      <c r="A65" s="8"/>
      <c r="B65" s="8"/>
      <c r="C65" s="8"/>
      <c r="D65" s="8"/>
      <c r="E65" s="8"/>
      <c r="F65" s="8"/>
    </row>
    <row r="66" spans="1:6" ht="12.75">
      <c r="A66" s="8"/>
      <c r="B66" s="8"/>
      <c r="C66" s="8"/>
      <c r="D66" s="8"/>
      <c r="E66" s="8"/>
      <c r="F66" s="8"/>
    </row>
    <row r="67" spans="1:6" ht="12.75">
      <c r="A67" s="8"/>
      <c r="B67" s="8"/>
      <c r="C67" s="8"/>
      <c r="D67" s="8"/>
      <c r="E67" s="8"/>
      <c r="F67" s="8"/>
    </row>
    <row r="68" spans="1:6" ht="12.75">
      <c r="A68" s="8"/>
      <c r="B68" s="8"/>
      <c r="C68" s="8"/>
      <c r="D68" s="8"/>
      <c r="E68" s="8"/>
      <c r="F68" s="8"/>
    </row>
    <row r="69" spans="1:6" ht="12.75">
      <c r="A69" s="8"/>
      <c r="B69" s="8"/>
      <c r="C69" s="8"/>
      <c r="D69" s="8"/>
      <c r="E69" s="8"/>
      <c r="F69" s="8"/>
    </row>
  </sheetData>
  <sheetProtection password="CA83" sheet="1"/>
  <mergeCells count="10">
    <mergeCell ref="F18:F19"/>
    <mergeCell ref="A18:A19"/>
    <mergeCell ref="B18:B19"/>
    <mergeCell ref="D18:D19"/>
    <mergeCell ref="E18:E19"/>
    <mergeCell ref="F20:F21"/>
    <mergeCell ref="A20:A21"/>
    <mergeCell ref="B20:B21"/>
    <mergeCell ref="D20:D21"/>
    <mergeCell ref="E20:E21"/>
  </mergeCells>
  <dataValidations count="8">
    <dataValidation type="list" showInputMessage="1" showErrorMessage="1" sqref="D18:D29">
      <formula1>div</formula1>
    </dataValidation>
    <dataValidation type="list" showInputMessage="1" showErrorMessage="1" sqref="B9 H8">
      <formula1>avg</formula1>
    </dataValidation>
    <dataValidation type="list" allowBlank="1" showInputMessage="1" showErrorMessage="1" sqref="H9 B10">
      <formula1>type</formula1>
    </dataValidation>
    <dataValidation type="list" showInputMessage="1" showErrorMessage="1" sqref="M5:M6 H4 B5 K5:K6">
      <formula1>Model</formula1>
    </dataValidation>
    <dataValidation type="list" showInputMessage="1" showErrorMessage="1" sqref="B6 H5">
      <formula1>PowerMeter</formula1>
    </dataValidation>
    <dataValidation type="list" allowBlank="1" showInputMessage="1" showErrorMessage="1" sqref="B11">
      <formula1>Speed</formula1>
    </dataValidation>
    <dataValidation type="list" allowBlank="1" showInputMessage="1" showErrorMessage="1" sqref="B13">
      <formula1>Acq</formula1>
    </dataValidation>
    <dataValidation type="list" allowBlank="1" showInputMessage="1" showErrorMessage="1" sqref="B14">
      <formula1>VBW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224"/>
  <sheetViews>
    <sheetView zoomScale="75" zoomScaleNormal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31" sqref="F31"/>
    </sheetView>
  </sheetViews>
  <sheetFormatPr defaultColWidth="9.140625" defaultRowHeight="12.75"/>
  <cols>
    <col min="1" max="1" width="21.00390625" style="23" customWidth="1"/>
    <col min="2" max="2" width="25.140625" style="23" customWidth="1"/>
    <col min="3" max="3" width="21.8515625" style="23" bestFit="1" customWidth="1"/>
    <col min="4" max="4" width="18.00390625" style="23" customWidth="1"/>
    <col min="5" max="5" width="19.7109375" style="23" customWidth="1"/>
    <col min="6" max="6" width="23.00390625" style="23" customWidth="1"/>
    <col min="7" max="7" width="22.00390625" style="23" bestFit="1" customWidth="1"/>
    <col min="8" max="8" width="22.00390625" style="23" customWidth="1"/>
    <col min="9" max="9" width="17.140625" style="23" customWidth="1"/>
    <col min="10" max="10" width="21.421875" style="23" customWidth="1"/>
    <col min="11" max="11" width="21.28125" style="23" customWidth="1"/>
    <col min="12" max="12" width="18.421875" style="23" customWidth="1"/>
    <col min="13" max="13" width="22.421875" style="23" customWidth="1"/>
    <col min="14" max="14" width="22.7109375" style="23" customWidth="1"/>
    <col min="15" max="15" width="15.7109375" style="23" customWidth="1"/>
    <col min="16" max="16384" width="9.140625" style="23" customWidth="1"/>
  </cols>
  <sheetData>
    <row r="1" ht="12.75">
      <c r="I1" s="35" t="s">
        <v>60</v>
      </c>
    </row>
    <row r="2" ht="12.75"/>
    <row r="3" spans="1:14" ht="63.75">
      <c r="A3" s="35" t="s">
        <v>121</v>
      </c>
      <c r="I3" s="70" t="s">
        <v>54</v>
      </c>
      <c r="J3" s="70" t="s">
        <v>73</v>
      </c>
      <c r="K3" s="70" t="s">
        <v>74</v>
      </c>
      <c r="L3" s="70" t="s">
        <v>76</v>
      </c>
      <c r="M3" s="70" t="s">
        <v>75</v>
      </c>
      <c r="N3" s="70" t="s">
        <v>49</v>
      </c>
    </row>
    <row r="4" spans="9:14" ht="12.75">
      <c r="I4" s="71" t="s">
        <v>55</v>
      </c>
      <c r="J4" s="72">
        <v>0.005</v>
      </c>
      <c r="K4" s="72">
        <v>0.008</v>
      </c>
      <c r="L4" s="72">
        <v>0.005</v>
      </c>
      <c r="M4" s="72">
        <v>0.008</v>
      </c>
      <c r="N4" s="72">
        <v>0.005</v>
      </c>
    </row>
    <row r="5" spans="1:14" ht="12.75">
      <c r="A5" s="73" t="s">
        <v>0</v>
      </c>
      <c r="B5" s="73" t="s">
        <v>65</v>
      </c>
      <c r="C5" s="73" t="s">
        <v>66</v>
      </c>
      <c r="D5" s="73" t="s">
        <v>71</v>
      </c>
      <c r="E5" s="73" t="s">
        <v>67</v>
      </c>
      <c r="F5" s="74" t="s">
        <v>68</v>
      </c>
      <c r="G5" s="74" t="s">
        <v>69</v>
      </c>
      <c r="H5" s="75"/>
      <c r="I5" s="76" t="s">
        <v>56</v>
      </c>
      <c r="J5" s="77">
        <v>0.005</v>
      </c>
      <c r="K5" s="72">
        <v>0.008</v>
      </c>
      <c r="L5" s="77">
        <v>0.005</v>
      </c>
      <c r="M5" s="72">
        <v>0.008</v>
      </c>
      <c r="N5" s="72">
        <v>0.004</v>
      </c>
    </row>
    <row r="6" spans="1:8" ht="12.75">
      <c r="A6" s="78">
        <f>50000000/1000000000</f>
        <v>0.05</v>
      </c>
      <c r="B6" s="78">
        <v>1.12</v>
      </c>
      <c r="C6" s="78">
        <v>1.12</v>
      </c>
      <c r="D6" s="79">
        <v>1.14</v>
      </c>
      <c r="E6" s="78">
        <v>1.12</v>
      </c>
      <c r="F6" s="78">
        <v>1.12</v>
      </c>
      <c r="G6" s="79">
        <v>1.14</v>
      </c>
      <c r="H6" s="53"/>
    </row>
    <row r="7" spans="1:9" ht="12.75">
      <c r="A7" s="78">
        <f>100000000/1000000000</f>
        <v>0.1</v>
      </c>
      <c r="B7" s="78">
        <v>1.12</v>
      </c>
      <c r="C7" s="78">
        <v>1.12</v>
      </c>
      <c r="D7" s="79">
        <v>1.14</v>
      </c>
      <c r="E7" s="78">
        <v>1.12</v>
      </c>
      <c r="F7" s="78">
        <v>1.12</v>
      </c>
      <c r="G7" s="79">
        <v>1.14</v>
      </c>
      <c r="H7" s="53"/>
      <c r="I7" s="23" t="str">
        <f>CONCATENATE(calculator!A22," - ",calculator!$B$10)</f>
        <v>Power Meter Instrumentation Error - Average Only</v>
      </c>
    </row>
    <row r="8" spans="1:9" ht="12.75">
      <c r="A8" s="78">
        <v>2</v>
      </c>
      <c r="B8" s="78">
        <v>1.16</v>
      </c>
      <c r="C8" s="78">
        <v>1.18</v>
      </c>
      <c r="D8" s="80">
        <v>1.22</v>
      </c>
      <c r="E8" s="78">
        <v>1.16</v>
      </c>
      <c r="F8" s="78">
        <v>1.18</v>
      </c>
      <c r="G8" s="80">
        <v>1.22</v>
      </c>
      <c r="H8" s="53"/>
      <c r="I8" s="23" t="str">
        <f>CONCATENATE(calculator!A23," - ",calculator!$B$10)</f>
        <v>Power Meter Instrumentation Error During Calibration - Average Only</v>
      </c>
    </row>
    <row r="9" spans="1:9" ht="12.75">
      <c r="A9" s="78">
        <v>4</v>
      </c>
      <c r="B9" s="78">
        <v>1.16</v>
      </c>
      <c r="C9" s="78">
        <v>1.18</v>
      </c>
      <c r="D9" s="80">
        <v>1.22</v>
      </c>
      <c r="E9" s="78">
        <v>1.16</v>
      </c>
      <c r="F9" s="78">
        <v>1.18</v>
      </c>
      <c r="G9" s="80">
        <v>1.22</v>
      </c>
      <c r="H9" s="53"/>
      <c r="I9" s="53"/>
    </row>
    <row r="10" spans="1:9" ht="12.75">
      <c r="A10" s="78">
        <v>4.2</v>
      </c>
      <c r="B10" s="78">
        <v>1.16</v>
      </c>
      <c r="C10" s="78">
        <v>1.18</v>
      </c>
      <c r="D10" s="80">
        <v>1.22</v>
      </c>
      <c r="E10" s="78">
        <v>1.16</v>
      </c>
      <c r="F10" s="78">
        <v>1.18</v>
      </c>
      <c r="G10" s="80">
        <v>1.22</v>
      </c>
      <c r="H10" s="53"/>
      <c r="I10" s="53"/>
    </row>
    <row r="11" spans="1:10" ht="12.75">
      <c r="A11" s="78">
        <v>6</v>
      </c>
      <c r="B11" s="78">
        <v>1.16</v>
      </c>
      <c r="C11" s="78">
        <v>1.18</v>
      </c>
      <c r="D11" s="80">
        <v>1.22</v>
      </c>
      <c r="E11" s="78">
        <v>1.16</v>
      </c>
      <c r="F11" s="78">
        <v>1.18</v>
      </c>
      <c r="G11" s="80">
        <v>1.22</v>
      </c>
      <c r="H11" s="53"/>
      <c r="J11" s="81"/>
    </row>
    <row r="12" spans="1:10" ht="12.75">
      <c r="A12" s="78">
        <v>8</v>
      </c>
      <c r="B12" s="78" t="s">
        <v>81</v>
      </c>
      <c r="C12" s="78" t="s">
        <v>81</v>
      </c>
      <c r="D12" s="78" t="s">
        <v>81</v>
      </c>
      <c r="E12" s="78">
        <v>1.16</v>
      </c>
      <c r="F12" s="78">
        <v>1.18</v>
      </c>
      <c r="G12" s="80">
        <v>1.22</v>
      </c>
      <c r="H12" s="53"/>
      <c r="J12" s="81"/>
    </row>
    <row r="13" spans="1:10" ht="12.75">
      <c r="A13" s="78">
        <v>10</v>
      </c>
      <c r="B13" s="78" t="s">
        <v>81</v>
      </c>
      <c r="C13" s="78" t="s">
        <v>81</v>
      </c>
      <c r="D13" s="78" t="s">
        <v>81</v>
      </c>
      <c r="E13" s="78">
        <v>1.23</v>
      </c>
      <c r="F13" s="78">
        <v>1.18</v>
      </c>
      <c r="G13" s="80">
        <v>1.22</v>
      </c>
      <c r="H13" s="53"/>
      <c r="J13" s="81"/>
    </row>
    <row r="14" spans="1:10" ht="12.75">
      <c r="A14" s="78">
        <v>11</v>
      </c>
      <c r="B14" s="78" t="s">
        <v>81</v>
      </c>
      <c r="C14" s="78" t="s">
        <v>81</v>
      </c>
      <c r="D14" s="78" t="s">
        <v>81</v>
      </c>
      <c r="E14" s="78">
        <v>1.23</v>
      </c>
      <c r="F14" s="78">
        <v>1.18</v>
      </c>
      <c r="G14" s="80">
        <v>1.22</v>
      </c>
      <c r="H14" s="53"/>
      <c r="I14" s="82"/>
      <c r="J14" s="83"/>
    </row>
    <row r="15" spans="1:10" ht="12.75">
      <c r="A15" s="78">
        <v>12</v>
      </c>
      <c r="B15" s="78" t="s">
        <v>81</v>
      </c>
      <c r="C15" s="78" t="s">
        <v>81</v>
      </c>
      <c r="D15" s="78" t="s">
        <v>81</v>
      </c>
      <c r="E15" s="78">
        <v>1.23</v>
      </c>
      <c r="F15" s="78">
        <v>1.21</v>
      </c>
      <c r="G15" s="80">
        <v>1.22</v>
      </c>
      <c r="H15" s="53"/>
      <c r="J15" s="84"/>
    </row>
    <row r="16" spans="1:8" ht="12.75">
      <c r="A16" s="78">
        <v>12.4</v>
      </c>
      <c r="B16" s="78" t="s">
        <v>81</v>
      </c>
      <c r="C16" s="78" t="s">
        <v>81</v>
      </c>
      <c r="D16" s="78" t="s">
        <v>81</v>
      </c>
      <c r="E16" s="78">
        <v>1.23</v>
      </c>
      <c r="F16" s="78">
        <v>1.21</v>
      </c>
      <c r="G16" s="80">
        <v>1.22</v>
      </c>
      <c r="H16" s="53"/>
    </row>
    <row r="17" spans="1:8" ht="12.75">
      <c r="A17" s="78">
        <v>14</v>
      </c>
      <c r="B17" s="78" t="s">
        <v>81</v>
      </c>
      <c r="C17" s="78" t="s">
        <v>81</v>
      </c>
      <c r="D17" s="78" t="s">
        <v>81</v>
      </c>
      <c r="E17" s="78">
        <v>1.23</v>
      </c>
      <c r="F17" s="78">
        <v>1.21</v>
      </c>
      <c r="G17" s="80">
        <v>1.22</v>
      </c>
      <c r="H17" s="53"/>
    </row>
    <row r="18" spans="1:9" ht="12.75">
      <c r="A18" s="78">
        <v>15</v>
      </c>
      <c r="B18" s="78" t="s">
        <v>81</v>
      </c>
      <c r="C18" s="78" t="s">
        <v>81</v>
      </c>
      <c r="D18" s="78" t="s">
        <v>81</v>
      </c>
      <c r="E18" s="78">
        <v>1.23</v>
      </c>
      <c r="F18" s="78">
        <v>1.21</v>
      </c>
      <c r="G18" s="80">
        <v>1.22</v>
      </c>
      <c r="H18" s="53"/>
      <c r="I18" s="82"/>
    </row>
    <row r="19" spans="1:9" ht="12.75">
      <c r="A19" s="78">
        <v>16</v>
      </c>
      <c r="B19" s="78" t="s">
        <v>81</v>
      </c>
      <c r="C19" s="78" t="s">
        <v>81</v>
      </c>
      <c r="D19" s="78" t="s">
        <v>81</v>
      </c>
      <c r="E19" s="78">
        <v>1.28</v>
      </c>
      <c r="F19" s="78">
        <v>1.27</v>
      </c>
      <c r="G19" s="78">
        <v>1.26</v>
      </c>
      <c r="H19" s="53"/>
      <c r="I19" s="53"/>
    </row>
    <row r="20" spans="1:9" ht="12.75">
      <c r="A20" s="78">
        <v>18</v>
      </c>
      <c r="B20" s="78" t="s">
        <v>81</v>
      </c>
      <c r="C20" s="78" t="s">
        <v>81</v>
      </c>
      <c r="D20" s="78" t="s">
        <v>81</v>
      </c>
      <c r="E20" s="78">
        <v>1.28</v>
      </c>
      <c r="F20" s="78">
        <v>1.27</v>
      </c>
      <c r="G20" s="78">
        <v>1.26</v>
      </c>
      <c r="H20" s="53"/>
      <c r="I20" s="82"/>
    </row>
    <row r="21" ht="12.75"/>
    <row r="22" ht="12.75"/>
    <row r="23" ht="12.75">
      <c r="A23" s="35" t="s">
        <v>30</v>
      </c>
    </row>
    <row r="24" spans="1:13" ht="12.75">
      <c r="A24" s="85" t="s">
        <v>6</v>
      </c>
      <c r="B24" s="73" t="s">
        <v>70</v>
      </c>
      <c r="C24" s="73" t="s">
        <v>43</v>
      </c>
      <c r="D24" s="61"/>
      <c r="E24" s="61"/>
      <c r="F24" s="75"/>
      <c r="G24" s="75"/>
      <c r="H24" s="61"/>
      <c r="I24" s="61"/>
      <c r="J24" s="61"/>
      <c r="K24" s="61"/>
      <c r="L24" s="75"/>
      <c r="M24" s="75"/>
    </row>
    <row r="25" spans="1:13" ht="12.75">
      <c r="A25" s="86">
        <v>-65</v>
      </c>
      <c r="B25" s="87">
        <v>0.037</v>
      </c>
      <c r="C25" s="87">
        <v>0.042</v>
      </c>
      <c r="D25" s="88"/>
      <c r="E25" s="88"/>
      <c r="F25" s="88"/>
      <c r="G25" s="88"/>
      <c r="H25" s="88"/>
      <c r="I25" s="88"/>
      <c r="J25" s="88"/>
      <c r="K25" s="88"/>
      <c r="L25" s="88"/>
      <c r="M25" s="88"/>
    </row>
    <row r="26" spans="1:13" ht="12.75">
      <c r="A26" s="86">
        <v>-60</v>
      </c>
      <c r="B26" s="87">
        <v>0.037</v>
      </c>
      <c r="C26" s="87">
        <v>0.042</v>
      </c>
      <c r="D26" s="88"/>
      <c r="E26" s="88"/>
      <c r="F26" s="88"/>
      <c r="G26" s="88"/>
      <c r="H26" s="88"/>
      <c r="I26" s="88"/>
      <c r="J26" s="88"/>
      <c r="K26" s="88"/>
      <c r="L26" s="88"/>
      <c r="M26" s="88"/>
    </row>
    <row r="27" spans="1:13" ht="12.75">
      <c r="A27" s="86">
        <v>-50</v>
      </c>
      <c r="B27" s="87">
        <v>0.037</v>
      </c>
      <c r="C27" s="87">
        <v>0.042</v>
      </c>
      <c r="D27" s="88"/>
      <c r="E27" s="88"/>
      <c r="F27" s="88"/>
      <c r="G27" s="88"/>
      <c r="H27" s="88"/>
      <c r="I27" s="88"/>
      <c r="J27" s="88"/>
      <c r="K27" s="88"/>
      <c r="L27" s="88"/>
      <c r="M27" s="88"/>
    </row>
    <row r="28" spans="1:13" ht="12.75">
      <c r="A28" s="89">
        <v>-45</v>
      </c>
      <c r="B28" s="87">
        <v>0.037</v>
      </c>
      <c r="C28" s="87">
        <v>0.042</v>
      </c>
      <c r="D28" s="88"/>
      <c r="E28" s="88"/>
      <c r="F28" s="88"/>
      <c r="G28" s="88"/>
      <c r="H28" s="88"/>
      <c r="I28" s="88"/>
      <c r="J28" s="88"/>
      <c r="K28" s="88"/>
      <c r="L28" s="88"/>
      <c r="M28" s="88"/>
    </row>
    <row r="29" spans="1:13" ht="12.75">
      <c r="A29" s="89">
        <v>-40</v>
      </c>
      <c r="B29" s="87">
        <v>0.037</v>
      </c>
      <c r="C29" s="87">
        <v>0.042</v>
      </c>
      <c r="D29" s="88"/>
      <c r="E29" s="88"/>
      <c r="F29" s="88"/>
      <c r="G29" s="88"/>
      <c r="H29" s="88"/>
      <c r="I29" s="88"/>
      <c r="J29" s="88"/>
      <c r="K29" s="88"/>
      <c r="L29" s="88"/>
      <c r="M29" s="88"/>
    </row>
    <row r="30" spans="1:13" ht="12.75">
      <c r="A30" s="89">
        <v>-35</v>
      </c>
      <c r="B30" s="87">
        <v>0.037</v>
      </c>
      <c r="C30" s="87">
        <v>0.042</v>
      </c>
      <c r="D30" s="88"/>
      <c r="E30" s="88"/>
      <c r="F30" s="88"/>
      <c r="G30" s="88"/>
      <c r="H30" s="88"/>
      <c r="I30" s="88"/>
      <c r="J30" s="88"/>
      <c r="K30" s="88"/>
      <c r="L30" s="88"/>
      <c r="M30" s="88"/>
    </row>
    <row r="31" spans="1:13" ht="12.75">
      <c r="A31" s="89">
        <v>-30</v>
      </c>
      <c r="B31" s="87">
        <v>0.037</v>
      </c>
      <c r="C31" s="87">
        <v>0.042</v>
      </c>
      <c r="D31" s="88"/>
      <c r="E31" s="88"/>
      <c r="F31" s="88"/>
      <c r="G31" s="88"/>
      <c r="H31" s="88"/>
      <c r="I31" s="88"/>
      <c r="J31" s="88"/>
      <c r="K31" s="88"/>
      <c r="L31" s="88"/>
      <c r="M31" s="88"/>
    </row>
    <row r="32" spans="1:32" ht="12.75">
      <c r="A32" s="71">
        <v>-18.5</v>
      </c>
      <c r="B32" s="87">
        <v>0.037</v>
      </c>
      <c r="C32" s="87">
        <v>0.042</v>
      </c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</row>
    <row r="33" spans="1:32" ht="12.75">
      <c r="A33" s="71">
        <v>-17.5</v>
      </c>
      <c r="B33" s="87">
        <v>0.037</v>
      </c>
      <c r="C33" s="87">
        <v>0.042</v>
      </c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</row>
    <row r="34" spans="1:32" ht="12.75">
      <c r="A34" s="71">
        <v>-15</v>
      </c>
      <c r="B34" s="87">
        <v>0.037</v>
      </c>
      <c r="C34" s="87">
        <v>0.042</v>
      </c>
      <c r="D34" s="88"/>
      <c r="E34" s="88"/>
      <c r="F34" s="88"/>
      <c r="G34" s="88"/>
      <c r="H34" s="88"/>
      <c r="I34" s="88"/>
      <c r="J34" s="88"/>
      <c r="K34" s="88"/>
      <c r="L34" s="88"/>
      <c r="M34" s="88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</row>
    <row r="35" spans="1:32" ht="12.75">
      <c r="A35" s="71">
        <v>-14.5</v>
      </c>
      <c r="B35" s="87">
        <v>0.037</v>
      </c>
      <c r="C35" s="87">
        <v>0.042</v>
      </c>
      <c r="D35" s="88"/>
      <c r="E35" s="88"/>
      <c r="F35" s="88"/>
      <c r="G35" s="88"/>
      <c r="H35" s="88"/>
      <c r="I35" s="88"/>
      <c r="J35" s="88"/>
      <c r="K35" s="88"/>
      <c r="L35" s="88"/>
      <c r="M35" s="88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</row>
    <row r="36" spans="1:32" ht="12.75">
      <c r="A36" s="71">
        <v>-13.5</v>
      </c>
      <c r="B36" s="87">
        <v>0.037</v>
      </c>
      <c r="C36" s="87">
        <v>0.042</v>
      </c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</row>
    <row r="37" spans="1:32" ht="12.75">
      <c r="A37" s="71">
        <v>-11.5</v>
      </c>
      <c r="B37" s="87">
        <v>0.037</v>
      </c>
      <c r="C37" s="87">
        <v>0.042</v>
      </c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</row>
    <row r="38" spans="1:32" ht="12.75">
      <c r="A38" s="71">
        <v>-10.5</v>
      </c>
      <c r="B38" s="87">
        <v>0.037</v>
      </c>
      <c r="C38" s="87">
        <v>0.042</v>
      </c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</row>
    <row r="39" spans="1:13" ht="12.75">
      <c r="A39" s="71">
        <v>-9.5</v>
      </c>
      <c r="B39" s="87">
        <v>0.037</v>
      </c>
      <c r="C39" s="87">
        <v>0.042</v>
      </c>
      <c r="D39" s="88"/>
      <c r="E39" s="88"/>
      <c r="F39" s="88"/>
      <c r="G39" s="88"/>
      <c r="H39" s="88"/>
      <c r="I39" s="88"/>
      <c r="J39" s="88"/>
      <c r="K39" s="88"/>
      <c r="L39" s="88"/>
      <c r="M39" s="88"/>
    </row>
    <row r="40" spans="1:13" ht="12.75">
      <c r="A40" s="71">
        <v>-5</v>
      </c>
      <c r="B40" s="87">
        <v>0.037</v>
      </c>
      <c r="C40" s="87">
        <v>0.042</v>
      </c>
      <c r="D40" s="88"/>
      <c r="E40" s="88"/>
      <c r="F40" s="88"/>
      <c r="G40" s="88"/>
      <c r="H40" s="88"/>
      <c r="I40" s="88"/>
      <c r="J40" s="88"/>
      <c r="K40" s="88"/>
      <c r="L40" s="88"/>
      <c r="M40" s="88"/>
    </row>
    <row r="41" spans="1:13" ht="12.75">
      <c r="A41" s="71">
        <v>0.5</v>
      </c>
      <c r="B41" s="87">
        <v>0.037</v>
      </c>
      <c r="C41" s="87">
        <v>0.042</v>
      </c>
      <c r="D41" s="88"/>
      <c r="E41" s="88"/>
      <c r="F41" s="88"/>
      <c r="G41" s="88"/>
      <c r="H41" s="88"/>
      <c r="I41" s="88"/>
      <c r="J41" s="88"/>
      <c r="K41" s="88"/>
      <c r="L41" s="88"/>
      <c r="M41" s="88"/>
    </row>
    <row r="42" spans="1:13" ht="12.75">
      <c r="A42" s="71">
        <v>20</v>
      </c>
      <c r="B42" s="87">
        <v>0.037</v>
      </c>
      <c r="C42" s="87">
        <v>0.042</v>
      </c>
      <c r="D42" s="88"/>
      <c r="E42" s="88"/>
      <c r="F42" s="88"/>
      <c r="G42" s="88"/>
      <c r="H42" s="88"/>
      <c r="I42" s="88"/>
      <c r="J42" s="88"/>
      <c r="K42" s="88"/>
      <c r="L42" s="88"/>
      <c r="M42" s="88"/>
    </row>
    <row r="43" spans="1:13" ht="12.75">
      <c r="A43" s="33"/>
      <c r="B43" s="88"/>
      <c r="C43" s="88"/>
      <c r="D43" s="88"/>
      <c r="E43" s="88"/>
      <c r="F43" s="88"/>
      <c r="G43" s="88"/>
      <c r="H43" s="88"/>
      <c r="I43" s="88"/>
      <c r="J43" s="88"/>
      <c r="K43" s="88"/>
      <c r="L43" s="88"/>
      <c r="M43" s="88"/>
    </row>
    <row r="44" spans="3:10" ht="12.75">
      <c r="C44" s="90" t="s">
        <v>31</v>
      </c>
      <c r="D44" s="90"/>
      <c r="E44" s="33"/>
      <c r="F44" s="33"/>
      <c r="G44" s="33"/>
      <c r="H44" s="33"/>
      <c r="I44" s="33"/>
      <c r="J44" s="33"/>
    </row>
    <row r="45" spans="1:11" ht="12.75">
      <c r="A45" s="85" t="s">
        <v>64</v>
      </c>
      <c r="B45" s="85" t="s">
        <v>63</v>
      </c>
      <c r="C45" s="85" t="s">
        <v>43</v>
      </c>
      <c r="D45" s="85" t="s">
        <v>102</v>
      </c>
      <c r="E45" s="25"/>
      <c r="F45" s="25"/>
      <c r="G45" s="25"/>
      <c r="H45" s="25"/>
      <c r="I45" s="25"/>
      <c r="J45" s="33"/>
      <c r="K45" s="26"/>
    </row>
    <row r="46" spans="1:10" ht="12.75">
      <c r="A46" s="71" t="s">
        <v>79</v>
      </c>
      <c r="B46" s="73" t="s">
        <v>65</v>
      </c>
      <c r="C46" s="91">
        <v>5E-09</v>
      </c>
      <c r="D46" s="91">
        <v>1.7E-10</v>
      </c>
      <c r="E46" s="92"/>
      <c r="F46" s="92"/>
      <c r="G46" s="93"/>
      <c r="H46" s="93"/>
      <c r="I46" s="93"/>
      <c r="J46" s="33"/>
    </row>
    <row r="47" spans="1:10" ht="12.75">
      <c r="A47" s="71" t="s">
        <v>80</v>
      </c>
      <c r="B47" s="73" t="s">
        <v>66</v>
      </c>
      <c r="C47" s="91">
        <v>1.9E-08</v>
      </c>
      <c r="D47" s="91">
        <v>5E-10</v>
      </c>
      <c r="E47" s="92"/>
      <c r="F47" s="92"/>
      <c r="G47" s="93"/>
      <c r="H47" s="93"/>
      <c r="I47" s="93"/>
      <c r="J47" s="33"/>
    </row>
    <row r="48" spans="1:10" ht="12.75">
      <c r="A48" s="71" t="s">
        <v>80</v>
      </c>
      <c r="B48" s="73" t="s">
        <v>71</v>
      </c>
      <c r="C48" s="91">
        <v>6E-08</v>
      </c>
      <c r="D48" s="91">
        <v>6E-10</v>
      </c>
      <c r="E48" s="92"/>
      <c r="F48" s="92"/>
      <c r="G48" s="93"/>
      <c r="H48" s="93"/>
      <c r="I48" s="93"/>
      <c r="J48" s="33"/>
    </row>
    <row r="49" spans="1:10" ht="12.75">
      <c r="A49" s="71" t="s">
        <v>79</v>
      </c>
      <c r="B49" s="73" t="s">
        <v>67</v>
      </c>
      <c r="C49" s="91">
        <v>5E-09</v>
      </c>
      <c r="D49" s="91">
        <v>1.7E-10</v>
      </c>
      <c r="E49" s="92"/>
      <c r="F49" s="92"/>
      <c r="G49" s="93"/>
      <c r="H49" s="93"/>
      <c r="I49" s="93"/>
      <c r="J49" s="33"/>
    </row>
    <row r="50" spans="1:10" ht="12.75">
      <c r="A50" s="71" t="s">
        <v>80</v>
      </c>
      <c r="B50" s="74" t="s">
        <v>68</v>
      </c>
      <c r="C50" s="91">
        <v>1.9E-08</v>
      </c>
      <c r="D50" s="91">
        <v>5E-10</v>
      </c>
      <c r="E50" s="92"/>
      <c r="F50" s="92"/>
      <c r="G50" s="93"/>
      <c r="H50" s="93"/>
      <c r="I50" s="93"/>
      <c r="J50" s="33"/>
    </row>
    <row r="51" spans="1:10" ht="12.75">
      <c r="A51" s="71" t="s">
        <v>80</v>
      </c>
      <c r="B51" s="74" t="s">
        <v>69</v>
      </c>
      <c r="C51" s="91">
        <v>6E-08</v>
      </c>
      <c r="D51" s="91">
        <v>6E-10</v>
      </c>
      <c r="E51" s="92"/>
      <c r="F51" s="92"/>
      <c r="G51" s="93"/>
      <c r="H51" s="93"/>
      <c r="I51" s="93"/>
      <c r="J51" s="33"/>
    </row>
    <row r="52" spans="1:10" ht="12.75">
      <c r="A52" s="33"/>
      <c r="B52" s="75"/>
      <c r="C52" s="92"/>
      <c r="D52" s="92"/>
      <c r="E52" s="92"/>
      <c r="F52" s="92"/>
      <c r="G52" s="94"/>
      <c r="H52" s="94"/>
      <c r="I52" s="33"/>
      <c r="J52" s="33"/>
    </row>
    <row r="53" spans="1:8" ht="12.75">
      <c r="A53" s="33"/>
      <c r="B53" s="95" t="s">
        <v>32</v>
      </c>
      <c r="C53" s="95"/>
      <c r="D53" s="92"/>
      <c r="E53" s="92"/>
      <c r="F53" s="92"/>
      <c r="G53" s="94"/>
      <c r="H53" s="94"/>
    </row>
    <row r="54" spans="1:8" ht="12.75">
      <c r="A54" s="85" t="s">
        <v>63</v>
      </c>
      <c r="B54" s="85" t="s">
        <v>43</v>
      </c>
      <c r="C54" s="85" t="s">
        <v>70</v>
      </c>
      <c r="D54" s="92"/>
      <c r="E54" s="92"/>
      <c r="F54" s="92"/>
      <c r="G54" s="94"/>
      <c r="H54" s="94"/>
    </row>
    <row r="55" spans="1:8" ht="12.75">
      <c r="A55" s="73" t="s">
        <v>65</v>
      </c>
      <c r="B55" s="91">
        <v>5E-09</v>
      </c>
      <c r="C55" s="91">
        <v>6E-11</v>
      </c>
      <c r="D55" s="92"/>
      <c r="E55" s="92"/>
      <c r="F55" s="92"/>
      <c r="G55" s="94"/>
      <c r="H55" s="94"/>
    </row>
    <row r="56" spans="1:8" ht="12.75">
      <c r="A56" s="73" t="s">
        <v>66</v>
      </c>
      <c r="B56" s="91">
        <v>5E-09</v>
      </c>
      <c r="C56" s="91">
        <v>1E-10</v>
      </c>
      <c r="D56" s="92"/>
      <c r="E56" s="92"/>
      <c r="F56" s="92"/>
      <c r="G56" s="94"/>
      <c r="H56" s="94"/>
    </row>
    <row r="57" spans="1:8" ht="12.75">
      <c r="A57" s="73" t="s">
        <v>71</v>
      </c>
      <c r="B57" s="91">
        <v>4E-08</v>
      </c>
      <c r="C57" s="91">
        <v>1E-10</v>
      </c>
      <c r="D57" s="92"/>
      <c r="E57" s="92"/>
      <c r="F57" s="92"/>
      <c r="G57" s="94"/>
      <c r="H57" s="94"/>
    </row>
    <row r="58" spans="1:8" ht="12.75">
      <c r="A58" s="73" t="s">
        <v>67</v>
      </c>
      <c r="B58" s="91">
        <v>5E-09</v>
      </c>
      <c r="C58" s="91">
        <v>6E-11</v>
      </c>
      <c r="D58" s="92"/>
      <c r="E58" s="92"/>
      <c r="F58" s="92"/>
      <c r="G58" s="94"/>
      <c r="H58" s="94"/>
    </row>
    <row r="59" spans="1:8" ht="12.75">
      <c r="A59" s="74" t="s">
        <v>68</v>
      </c>
      <c r="B59" s="91">
        <v>5E-09</v>
      </c>
      <c r="C59" s="91">
        <v>1E-10</v>
      </c>
      <c r="D59" s="92"/>
      <c r="E59" s="92"/>
      <c r="F59" s="92"/>
      <c r="G59" s="94"/>
      <c r="H59" s="94"/>
    </row>
    <row r="60" spans="1:8" ht="12.75">
      <c r="A60" s="74" t="s">
        <v>69</v>
      </c>
      <c r="B60" s="91">
        <v>4E-08</v>
      </c>
      <c r="C60" s="91">
        <v>1E-10</v>
      </c>
      <c r="D60" s="92"/>
      <c r="E60" s="92"/>
      <c r="F60" s="92"/>
      <c r="G60" s="94"/>
      <c r="H60" s="94"/>
    </row>
    <row r="61" spans="1:8" ht="13.5" thickBot="1">
      <c r="A61" s="33"/>
      <c r="B61" s="75"/>
      <c r="C61" s="92"/>
      <c r="D61" s="92"/>
      <c r="E61" s="92"/>
      <c r="F61" s="92"/>
      <c r="G61" s="94"/>
      <c r="H61" s="94"/>
    </row>
    <row r="62" spans="1:8" ht="25.5">
      <c r="A62" s="96" t="s">
        <v>116</v>
      </c>
      <c r="B62" s="97" t="s">
        <v>43</v>
      </c>
      <c r="C62" s="97"/>
      <c r="D62" s="97"/>
      <c r="E62" s="98"/>
      <c r="F62" s="99" t="s">
        <v>43</v>
      </c>
      <c r="G62" s="99"/>
      <c r="H62" s="100" t="s">
        <v>70</v>
      </c>
    </row>
    <row r="63" spans="1:8" ht="12.75">
      <c r="A63" s="85" t="s">
        <v>63</v>
      </c>
      <c r="B63" s="85" t="s">
        <v>94</v>
      </c>
      <c r="D63" s="33"/>
      <c r="E63" s="101" t="s">
        <v>77</v>
      </c>
      <c r="F63" s="85" t="s">
        <v>94</v>
      </c>
      <c r="G63" s="85" t="s">
        <v>96</v>
      </c>
      <c r="H63" s="102"/>
    </row>
    <row r="64" spans="1:8" ht="12.75">
      <c r="A64" s="73" t="s">
        <v>65</v>
      </c>
      <c r="B64" s="103">
        <v>7.5E-08</v>
      </c>
      <c r="E64" s="101" t="s">
        <v>105</v>
      </c>
      <c r="F64" s="104" t="str">
        <f>IF(calculator!B10="Normal",INDEX(A63:B69,MATCH(calculator!B5,A63:A69,1),MATCH(calculator!B13,A63:B63,0)),"Error")</f>
        <v>Error</v>
      </c>
      <c r="G64" s="91" t="str">
        <f>IF(calculator!B10="Normal",INDEX(A72:B78,MATCH(calculator!B5,A72:A78,1),MATCH(calculator!B13,A72:B72,0)),"Error")</f>
        <v>Error</v>
      </c>
      <c r="H64" s="105">
        <f>IF(calculator!B10="Average Only",INDEX(A81:B87,MATCH(Data!B5,Data!A81:A87,1),MATCH(calculator!B10,Data!A81:B81,0)),"Error")</f>
        <v>1.65E-10</v>
      </c>
    </row>
    <row r="65" spans="1:8" ht="12.75">
      <c r="A65" s="73" t="s">
        <v>66</v>
      </c>
      <c r="B65" s="103">
        <v>1.8E-07</v>
      </c>
      <c r="E65" s="106" t="s">
        <v>41</v>
      </c>
      <c r="F65" s="107"/>
      <c r="G65" s="71">
        <f>G104</f>
        <v>0.82</v>
      </c>
      <c r="H65" s="108">
        <f>F104</f>
        <v>1.94</v>
      </c>
    </row>
    <row r="66" spans="1:8" ht="12.75">
      <c r="A66" s="73" t="s">
        <v>71</v>
      </c>
      <c r="B66" s="103">
        <v>5.5E-07</v>
      </c>
      <c r="E66" s="106" t="s">
        <v>95</v>
      </c>
      <c r="F66" s="71">
        <f>INDEX(A190:G194,MATCH(calculator!B14,Data!A190:A194,0),MATCH(calculator!B5,Data!A190:G190,0))</f>
        <v>1</v>
      </c>
      <c r="G66" s="107"/>
      <c r="H66" s="109"/>
    </row>
    <row r="67" spans="1:8" ht="12.75">
      <c r="A67" s="73" t="s">
        <v>67</v>
      </c>
      <c r="B67" s="103">
        <v>7.5E-08</v>
      </c>
      <c r="E67" s="101" t="s">
        <v>112</v>
      </c>
      <c r="F67" s="91">
        <f>1/(calculator!B15/(IF(calculator!B6="EPM-P",0.00000005,0.00000001)))^0.5</f>
        <v>0.01</v>
      </c>
      <c r="G67" s="107"/>
      <c r="H67" s="109"/>
    </row>
    <row r="68" spans="1:8" ht="13.5" thickBot="1">
      <c r="A68" s="74" t="s">
        <v>68</v>
      </c>
      <c r="B68" s="103">
        <v>1.8E-07</v>
      </c>
      <c r="E68" s="110" t="s">
        <v>113</v>
      </c>
      <c r="F68" s="111" t="e">
        <f>F64*F66*F67</f>
        <v>#VALUE!</v>
      </c>
      <c r="G68" s="111" t="e">
        <f>G64*G65</f>
        <v>#VALUE!</v>
      </c>
      <c r="H68" s="112">
        <f>H64*H65</f>
        <v>3.201E-10</v>
      </c>
    </row>
    <row r="69" spans="1:8" ht="13.5" thickBot="1">
      <c r="A69" s="74" t="s">
        <v>69</v>
      </c>
      <c r="B69" s="103">
        <v>5.5E-07</v>
      </c>
      <c r="E69" s="113" t="s">
        <v>103</v>
      </c>
      <c r="F69" s="113">
        <f>IF(calculator!B10="Average Only",H68,IF(AND(calculator!B10="Normal",calculator!B13="Trigger"),Data!F68,Data!G68))</f>
        <v>3.201E-10</v>
      </c>
      <c r="H69" s="94"/>
    </row>
    <row r="70" spans="1:8" ht="13.5" thickTop="1">
      <c r="A70" s="33"/>
      <c r="B70" s="75"/>
      <c r="C70" s="92"/>
      <c r="D70" s="92"/>
      <c r="E70" s="92"/>
      <c r="F70" s="92"/>
      <c r="G70" s="94"/>
      <c r="H70" s="94"/>
    </row>
    <row r="71" spans="1:8" ht="38.25">
      <c r="A71" s="96" t="s">
        <v>118</v>
      </c>
      <c r="B71" s="75"/>
      <c r="C71" s="92"/>
      <c r="D71" s="92"/>
      <c r="E71" s="92"/>
      <c r="F71" s="92"/>
      <c r="G71" s="94"/>
      <c r="H71" s="94"/>
    </row>
    <row r="72" spans="1:8" ht="12.75">
      <c r="A72" s="85" t="s">
        <v>63</v>
      </c>
      <c r="B72" s="85" t="s">
        <v>96</v>
      </c>
      <c r="C72" s="92"/>
      <c r="D72" s="92"/>
      <c r="E72" s="92"/>
      <c r="F72" s="92"/>
      <c r="G72" s="94"/>
      <c r="H72" s="94"/>
    </row>
    <row r="73" spans="1:8" ht="12.75">
      <c r="A73" s="73" t="s">
        <v>65</v>
      </c>
      <c r="B73" s="103">
        <v>6E-09</v>
      </c>
      <c r="C73" s="92"/>
      <c r="D73" s="92"/>
      <c r="E73" s="92"/>
      <c r="F73" s="92"/>
      <c r="G73" s="94"/>
      <c r="H73" s="94"/>
    </row>
    <row r="74" spans="1:8" ht="12.75">
      <c r="A74" s="73" t="s">
        <v>66</v>
      </c>
      <c r="B74" s="103">
        <v>1.2E-08</v>
      </c>
      <c r="C74" s="92"/>
      <c r="D74" s="92"/>
      <c r="E74" s="92"/>
      <c r="F74" s="92"/>
      <c r="G74" s="94"/>
      <c r="H74" s="94"/>
    </row>
    <row r="75" spans="1:8" ht="12.75">
      <c r="A75" s="73" t="s">
        <v>71</v>
      </c>
      <c r="B75" s="103">
        <v>2.5E-08</v>
      </c>
      <c r="C75" s="92"/>
      <c r="D75" s="92"/>
      <c r="E75" s="92"/>
      <c r="F75" s="92"/>
      <c r="G75" s="94"/>
      <c r="H75" s="94"/>
    </row>
    <row r="76" spans="1:8" ht="12.75">
      <c r="A76" s="73" t="s">
        <v>67</v>
      </c>
      <c r="B76" s="103">
        <v>6E-09</v>
      </c>
      <c r="C76" s="92"/>
      <c r="D76" s="92"/>
      <c r="E76" s="92"/>
      <c r="F76" s="92"/>
      <c r="G76" s="94"/>
      <c r="H76" s="94"/>
    </row>
    <row r="77" spans="1:8" ht="12.75">
      <c r="A77" s="74" t="s">
        <v>68</v>
      </c>
      <c r="B77" s="103">
        <v>1.2E-08</v>
      </c>
      <c r="C77" s="92"/>
      <c r="D77" s="92"/>
      <c r="E77" s="92"/>
      <c r="F77" s="92"/>
      <c r="G77" s="94"/>
      <c r="H77" s="94"/>
    </row>
    <row r="78" spans="1:8" ht="12.75">
      <c r="A78" s="74" t="s">
        <v>69</v>
      </c>
      <c r="B78" s="103">
        <v>2.5E-08</v>
      </c>
      <c r="C78" s="92"/>
      <c r="D78" s="92"/>
      <c r="E78" s="92"/>
      <c r="F78" s="92"/>
      <c r="G78" s="94"/>
      <c r="H78" s="94"/>
    </row>
    <row r="79" spans="1:8" ht="12.75">
      <c r="A79" s="33"/>
      <c r="B79" s="93"/>
      <c r="C79" s="92"/>
      <c r="D79" s="92"/>
      <c r="E79" s="92"/>
      <c r="F79" s="92"/>
      <c r="G79" s="94"/>
      <c r="H79" s="94"/>
    </row>
    <row r="80" spans="1:8" ht="12.75">
      <c r="A80" s="114" t="s">
        <v>117</v>
      </c>
      <c r="B80" s="75"/>
      <c r="C80" s="92"/>
      <c r="D80" s="92"/>
      <c r="E80" s="92"/>
      <c r="F80" s="92"/>
      <c r="G80" s="94"/>
      <c r="H80" s="94"/>
    </row>
    <row r="81" spans="1:8" ht="12.75">
      <c r="A81" s="85" t="s">
        <v>63</v>
      </c>
      <c r="B81" s="85" t="s">
        <v>70</v>
      </c>
      <c r="C81" s="92"/>
      <c r="D81" s="92"/>
      <c r="E81" s="92"/>
      <c r="F81" s="92"/>
      <c r="G81" s="94"/>
      <c r="H81" s="94"/>
    </row>
    <row r="82" spans="1:8" ht="12.75">
      <c r="A82" s="73" t="s">
        <v>65</v>
      </c>
      <c r="B82" s="103">
        <v>1.65E-10</v>
      </c>
      <c r="C82" s="92"/>
      <c r="D82" s="92"/>
      <c r="E82" s="92"/>
      <c r="F82" s="92"/>
      <c r="G82" s="94"/>
      <c r="H82" s="94"/>
    </row>
    <row r="83" spans="1:8" ht="12.75">
      <c r="A83" s="73" t="s">
        <v>66</v>
      </c>
      <c r="B83" s="103">
        <v>3.3E-10</v>
      </c>
      <c r="C83" s="92"/>
      <c r="D83" s="92"/>
      <c r="E83" s="92"/>
      <c r="F83" s="92"/>
      <c r="G83" s="94"/>
      <c r="H83" s="94"/>
    </row>
    <row r="84" spans="1:8" ht="12.75">
      <c r="A84" s="73" t="s">
        <v>71</v>
      </c>
      <c r="B84" s="103">
        <v>4E-10</v>
      </c>
      <c r="C84" s="92"/>
      <c r="D84" s="92"/>
      <c r="E84" s="92"/>
      <c r="F84" s="92"/>
      <c r="G84" s="94"/>
      <c r="H84" s="94"/>
    </row>
    <row r="85" spans="1:8" ht="12.75">
      <c r="A85" s="73" t="s">
        <v>67</v>
      </c>
      <c r="B85" s="103">
        <v>1.65E-10</v>
      </c>
      <c r="C85" s="92"/>
      <c r="D85" s="92"/>
      <c r="E85" s="92"/>
      <c r="F85" s="92"/>
      <c r="G85" s="94"/>
      <c r="H85" s="94"/>
    </row>
    <row r="86" spans="1:8" ht="12.75">
      <c r="A86" s="74" t="s">
        <v>68</v>
      </c>
      <c r="B86" s="103">
        <v>3.3E-10</v>
      </c>
      <c r="C86" s="92"/>
      <c r="D86" s="92"/>
      <c r="E86" s="92"/>
      <c r="F86" s="92"/>
      <c r="G86" s="94"/>
      <c r="H86" s="94"/>
    </row>
    <row r="87" spans="1:8" ht="12.75">
      <c r="A87" s="74" t="s">
        <v>69</v>
      </c>
      <c r="B87" s="103">
        <v>4E-10</v>
      </c>
      <c r="C87" s="92"/>
      <c r="D87" s="92"/>
      <c r="E87" s="92"/>
      <c r="F87" s="92"/>
      <c r="G87" s="94"/>
      <c r="H87" s="94"/>
    </row>
    <row r="88" spans="1:8" ht="12.75">
      <c r="A88" s="33"/>
      <c r="B88" s="75"/>
      <c r="C88" s="92"/>
      <c r="D88" s="92"/>
      <c r="E88" s="92"/>
      <c r="F88" s="92"/>
      <c r="G88" s="94"/>
      <c r="H88" s="94"/>
    </row>
    <row r="89" spans="1:6" ht="12.75">
      <c r="A89" s="26" t="s">
        <v>92</v>
      </c>
      <c r="B89" s="115"/>
      <c r="C89" s="83"/>
      <c r="D89" s="83"/>
      <c r="E89" s="83"/>
      <c r="F89" s="83"/>
    </row>
    <row r="90" spans="1:4" ht="12.75">
      <c r="A90" s="35" t="s">
        <v>70</v>
      </c>
      <c r="B90" s="35" t="s">
        <v>43</v>
      </c>
      <c r="D90" s="35"/>
    </row>
    <row r="91" spans="1:4" ht="12.75">
      <c r="A91" s="35"/>
      <c r="B91" s="35"/>
      <c r="D91" s="35"/>
    </row>
    <row r="92" spans="1:4" ht="12.75">
      <c r="A92" s="35" t="s">
        <v>93</v>
      </c>
      <c r="B92" s="35"/>
      <c r="D92" s="35"/>
    </row>
    <row r="93" spans="1:4" ht="12.75">
      <c r="A93" s="35" t="s">
        <v>43</v>
      </c>
      <c r="B93" s="35" t="s">
        <v>44</v>
      </c>
      <c r="C93" s="35" t="s">
        <v>91</v>
      </c>
      <c r="D93" s="35"/>
    </row>
    <row r="94" spans="1:4" ht="12.75">
      <c r="A94" s="35"/>
      <c r="B94" s="35"/>
      <c r="D94" s="35"/>
    </row>
    <row r="95" spans="1:4" ht="12.75">
      <c r="A95" s="35" t="s">
        <v>85</v>
      </c>
      <c r="B95" s="35"/>
      <c r="D95" s="35"/>
    </row>
    <row r="96" spans="1:4" ht="12.75">
      <c r="A96" s="35" t="s">
        <v>96</v>
      </c>
      <c r="B96" s="35" t="s">
        <v>94</v>
      </c>
      <c r="D96" s="35"/>
    </row>
    <row r="97" spans="1:4" ht="12.75">
      <c r="A97" s="35"/>
      <c r="B97" s="35"/>
      <c r="D97" s="35"/>
    </row>
    <row r="98" spans="1:19" ht="12.75">
      <c r="A98" s="35" t="s">
        <v>95</v>
      </c>
      <c r="B98" s="35"/>
      <c r="D98" s="35"/>
      <c r="H98" s="116"/>
      <c r="I98" s="116"/>
      <c r="J98" s="116"/>
      <c r="K98" s="116"/>
      <c r="L98" s="116"/>
      <c r="M98" s="116"/>
      <c r="N98" s="116"/>
      <c r="O98" s="116"/>
      <c r="P98" s="116"/>
      <c r="Q98" s="116"/>
      <c r="R98" s="116"/>
      <c r="S98" s="116"/>
    </row>
    <row r="99" spans="1:19" ht="12.75">
      <c r="A99" s="35" t="s">
        <v>97</v>
      </c>
      <c r="B99" s="35" t="s">
        <v>98</v>
      </c>
      <c r="C99" s="35" t="s">
        <v>99</v>
      </c>
      <c r="D99" s="35" t="s">
        <v>100</v>
      </c>
      <c r="H99" s="116"/>
      <c r="I99" s="116"/>
      <c r="J99" s="116"/>
      <c r="K99" s="116"/>
      <c r="L99" s="116"/>
      <c r="M99" s="116"/>
      <c r="N99" s="116"/>
      <c r="O99" s="116"/>
      <c r="P99" s="116"/>
      <c r="Q99" s="116"/>
      <c r="R99" s="116"/>
      <c r="S99" s="116"/>
    </row>
    <row r="100" spans="8:19" ht="12.75">
      <c r="H100" s="117"/>
      <c r="I100" s="117"/>
      <c r="J100" s="117"/>
      <c r="K100" s="117"/>
      <c r="L100" s="117"/>
      <c r="M100" s="117"/>
      <c r="N100" s="117"/>
      <c r="O100" s="117"/>
      <c r="P100" s="117"/>
      <c r="Q100" s="117"/>
      <c r="R100" s="117"/>
      <c r="S100" s="116"/>
    </row>
    <row r="101" spans="1:19" ht="12.75">
      <c r="A101" s="25" t="s">
        <v>33</v>
      </c>
      <c r="H101" s="117"/>
      <c r="I101" s="117"/>
      <c r="J101" s="117"/>
      <c r="K101" s="117"/>
      <c r="L101" s="117"/>
      <c r="M101" s="117"/>
      <c r="N101" s="117"/>
      <c r="O101" s="117"/>
      <c r="P101" s="117"/>
      <c r="Q101" s="117"/>
      <c r="R101" s="117"/>
      <c r="S101" s="116"/>
    </row>
    <row r="102" spans="1:19" ht="13.5" thickBot="1">
      <c r="A102" s="118" t="s">
        <v>123</v>
      </c>
      <c r="H102" s="97"/>
      <c r="I102" s="119"/>
      <c r="J102" s="119"/>
      <c r="K102" s="119"/>
      <c r="L102" s="119"/>
      <c r="M102" s="119"/>
      <c r="N102" s="117"/>
      <c r="O102" s="119"/>
      <c r="P102" s="119"/>
      <c r="Q102" s="119"/>
      <c r="R102" s="117"/>
      <c r="S102" s="116"/>
    </row>
    <row r="103" spans="1:19" ht="13.5" thickBot="1">
      <c r="A103" s="120" t="s">
        <v>34</v>
      </c>
      <c r="B103" s="121" t="s">
        <v>111</v>
      </c>
      <c r="C103" s="122" t="s">
        <v>44</v>
      </c>
      <c r="E103" s="35" t="s">
        <v>41</v>
      </c>
      <c r="F103" s="35" t="s">
        <v>70</v>
      </c>
      <c r="G103" s="35" t="s">
        <v>43</v>
      </c>
      <c r="H103" s="117"/>
      <c r="I103" s="123"/>
      <c r="J103" s="123"/>
      <c r="K103" s="123"/>
      <c r="L103" s="123"/>
      <c r="M103" s="123"/>
      <c r="N103" s="123"/>
      <c r="O103" s="123"/>
      <c r="P103" s="123"/>
      <c r="Q103" s="123"/>
      <c r="R103" s="117"/>
      <c r="S103" s="116"/>
    </row>
    <row r="104" spans="1:19" ht="12.75">
      <c r="A104" s="124">
        <v>1</v>
      </c>
      <c r="B104" s="125">
        <v>5.5</v>
      </c>
      <c r="C104" s="126">
        <v>6.5</v>
      </c>
      <c r="E104" s="35" t="s">
        <v>55</v>
      </c>
      <c r="F104" s="35">
        <f>IF(calculator!B11="Fast","Error",INDEX(Data!A103:C114,MATCH(calculator!B9,Data!A103:A114,1),MATCH(calculator!B11,Data!A103:C103,1)))</f>
        <v>1.94</v>
      </c>
      <c r="G104" s="35">
        <f>INDEX(A117:D128,MATCH(calculator!B9,A117:A128,1),MATCH(calculator!B11,A117:D117,0))</f>
        <v>0.82</v>
      </c>
      <c r="H104" s="117"/>
      <c r="I104" s="127"/>
      <c r="J104" s="127"/>
      <c r="K104" s="127"/>
      <c r="L104" s="127"/>
      <c r="M104" s="127"/>
      <c r="N104" s="127"/>
      <c r="O104" s="128"/>
      <c r="P104" s="128"/>
      <c r="Q104" s="128"/>
      <c r="R104" s="117"/>
      <c r="S104" s="116"/>
    </row>
    <row r="105" spans="1:19" ht="12.75">
      <c r="A105" s="129">
        <v>2</v>
      </c>
      <c r="B105" s="130">
        <v>3.89</v>
      </c>
      <c r="C105" s="78">
        <v>4.6</v>
      </c>
      <c r="H105" s="131"/>
      <c r="I105" s="127"/>
      <c r="J105" s="127"/>
      <c r="K105" s="127"/>
      <c r="L105" s="127"/>
      <c r="M105" s="127"/>
      <c r="N105" s="127"/>
      <c r="O105" s="128"/>
      <c r="P105" s="128"/>
      <c r="Q105" s="128"/>
      <c r="R105" s="117"/>
      <c r="S105" s="116"/>
    </row>
    <row r="106" spans="1:19" ht="12.75">
      <c r="A106" s="129">
        <v>4</v>
      </c>
      <c r="B106" s="130">
        <v>2.75</v>
      </c>
      <c r="C106" s="78">
        <v>3.25</v>
      </c>
      <c r="H106" s="131"/>
      <c r="I106" s="127"/>
      <c r="J106" s="127"/>
      <c r="K106" s="127"/>
      <c r="L106" s="127"/>
      <c r="M106" s="127"/>
      <c r="N106" s="127"/>
      <c r="O106" s="128"/>
      <c r="P106" s="128"/>
      <c r="Q106" s="128"/>
      <c r="R106" s="117"/>
      <c r="S106" s="116"/>
    </row>
    <row r="107" spans="1:19" ht="12.75">
      <c r="A107" s="129">
        <v>8</v>
      </c>
      <c r="B107" s="130">
        <v>1.94</v>
      </c>
      <c r="C107" s="78">
        <v>2.3</v>
      </c>
      <c r="H107" s="117"/>
      <c r="I107" s="127"/>
      <c r="J107" s="127"/>
      <c r="K107" s="127"/>
      <c r="L107" s="127"/>
      <c r="M107" s="127"/>
      <c r="N107" s="127"/>
      <c r="O107" s="128"/>
      <c r="P107" s="128"/>
      <c r="Q107" s="128"/>
      <c r="R107" s="117"/>
      <c r="S107" s="116"/>
    </row>
    <row r="108" spans="1:19" ht="12.75">
      <c r="A108" s="129">
        <v>16</v>
      </c>
      <c r="B108" s="130">
        <v>1</v>
      </c>
      <c r="C108" s="78">
        <v>1.63</v>
      </c>
      <c r="H108" s="117"/>
      <c r="I108" s="127"/>
      <c r="J108" s="127"/>
      <c r="K108" s="127"/>
      <c r="L108" s="127"/>
      <c r="M108" s="127"/>
      <c r="N108" s="127"/>
      <c r="O108" s="128"/>
      <c r="P108" s="128"/>
      <c r="Q108" s="128"/>
      <c r="R108" s="117"/>
      <c r="S108" s="116"/>
    </row>
    <row r="109" spans="1:19" ht="12.75">
      <c r="A109" s="129">
        <v>32</v>
      </c>
      <c r="B109" s="130">
        <v>0.85</v>
      </c>
      <c r="C109" s="78">
        <v>1</v>
      </c>
      <c r="H109" s="117"/>
      <c r="I109" s="127"/>
      <c r="J109" s="127"/>
      <c r="K109" s="127"/>
      <c r="L109" s="127"/>
      <c r="M109" s="127"/>
      <c r="N109" s="127"/>
      <c r="O109" s="128"/>
      <c r="P109" s="128"/>
      <c r="Q109" s="128"/>
      <c r="R109" s="117"/>
      <c r="S109" s="116"/>
    </row>
    <row r="110" spans="1:19" ht="12.75">
      <c r="A110" s="129">
        <v>64</v>
      </c>
      <c r="B110" s="130">
        <v>0.61</v>
      </c>
      <c r="C110" s="78">
        <v>0.72</v>
      </c>
      <c r="H110" s="117"/>
      <c r="I110" s="127"/>
      <c r="J110" s="127"/>
      <c r="K110" s="127"/>
      <c r="L110" s="127"/>
      <c r="M110" s="127"/>
      <c r="N110" s="127"/>
      <c r="O110" s="117"/>
      <c r="P110" s="117"/>
      <c r="Q110" s="117"/>
      <c r="R110" s="117"/>
      <c r="S110" s="116"/>
    </row>
    <row r="111" spans="1:19" ht="12.75">
      <c r="A111" s="129">
        <v>128</v>
      </c>
      <c r="B111" s="130">
        <v>0.49</v>
      </c>
      <c r="C111" s="78">
        <v>0.57</v>
      </c>
      <c r="H111" s="117"/>
      <c r="I111" s="127"/>
      <c r="J111" s="127"/>
      <c r="K111" s="127"/>
      <c r="L111" s="127"/>
      <c r="M111" s="127"/>
      <c r="N111" s="127"/>
      <c r="O111" s="117"/>
      <c r="P111" s="117"/>
      <c r="Q111" s="117"/>
      <c r="R111" s="117"/>
      <c r="S111" s="116"/>
    </row>
    <row r="112" spans="1:19" ht="12.75">
      <c r="A112" s="129">
        <v>256</v>
      </c>
      <c r="B112" s="130">
        <v>0.34</v>
      </c>
      <c r="C112" s="78">
        <v>0.41</v>
      </c>
      <c r="H112" s="117"/>
      <c r="I112" s="127"/>
      <c r="J112" s="127"/>
      <c r="K112" s="127"/>
      <c r="L112" s="127"/>
      <c r="M112" s="127"/>
      <c r="N112" s="127"/>
      <c r="O112" s="117"/>
      <c r="P112" s="117"/>
      <c r="Q112" s="117"/>
      <c r="R112" s="117"/>
      <c r="S112" s="116"/>
    </row>
    <row r="113" spans="1:19" ht="12.75">
      <c r="A113" s="129">
        <v>512</v>
      </c>
      <c r="B113" s="130">
        <v>0.24</v>
      </c>
      <c r="C113" s="78">
        <v>0.29</v>
      </c>
      <c r="H113" s="117"/>
      <c r="I113" s="127"/>
      <c r="J113" s="127"/>
      <c r="K113" s="127"/>
      <c r="L113" s="127"/>
      <c r="M113" s="127"/>
      <c r="N113" s="127"/>
      <c r="O113" s="117"/>
      <c r="P113" s="117"/>
      <c r="Q113" s="117"/>
      <c r="R113" s="117"/>
      <c r="S113" s="116"/>
    </row>
    <row r="114" spans="1:19" ht="13.5" thickBot="1">
      <c r="A114" s="132">
        <v>1024</v>
      </c>
      <c r="B114" s="133">
        <v>0.17</v>
      </c>
      <c r="C114" s="134">
        <v>0.2</v>
      </c>
      <c r="H114" s="117"/>
      <c r="I114" s="127"/>
      <c r="J114" s="127"/>
      <c r="K114" s="127"/>
      <c r="L114" s="127"/>
      <c r="M114" s="127"/>
      <c r="N114" s="127"/>
      <c r="O114" s="117"/>
      <c r="P114" s="117"/>
      <c r="Q114" s="117"/>
      <c r="R114" s="117"/>
      <c r="S114" s="116"/>
    </row>
    <row r="115" spans="8:19" ht="12.75">
      <c r="H115" s="117"/>
      <c r="I115" s="117"/>
      <c r="J115" s="117"/>
      <c r="K115" s="117"/>
      <c r="L115" s="117"/>
      <c r="M115" s="117"/>
      <c r="N115" s="117"/>
      <c r="O115" s="117"/>
      <c r="P115" s="117"/>
      <c r="Q115" s="117"/>
      <c r="R115" s="117"/>
      <c r="S115" s="116"/>
    </row>
    <row r="116" spans="1:18" ht="13.5" thickBot="1">
      <c r="A116" s="35" t="s">
        <v>122</v>
      </c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</row>
    <row r="117" spans="1:4" ht="13.5" thickBot="1">
      <c r="A117" s="120" t="s">
        <v>34</v>
      </c>
      <c r="B117" s="135" t="s">
        <v>43</v>
      </c>
      <c r="C117" s="136" t="s">
        <v>44</v>
      </c>
      <c r="D117" s="135" t="s">
        <v>91</v>
      </c>
    </row>
    <row r="118" spans="1:4" ht="12.75">
      <c r="A118" s="124">
        <v>1</v>
      </c>
      <c r="B118" s="137">
        <v>1</v>
      </c>
      <c r="C118" s="138">
        <f>B118*1.2</f>
        <v>1.2</v>
      </c>
      <c r="D118" s="137">
        <v>3.4</v>
      </c>
    </row>
    <row r="119" spans="1:4" ht="12.75">
      <c r="A119" s="129">
        <v>2</v>
      </c>
      <c r="B119" s="139">
        <v>0.94</v>
      </c>
      <c r="C119" s="71">
        <f aca="true" t="shared" si="0" ref="C119:C128">B119*1.2</f>
        <v>1.128</v>
      </c>
      <c r="D119" s="139">
        <v>3.4</v>
      </c>
    </row>
    <row r="120" spans="1:4" ht="12.75">
      <c r="A120" s="129">
        <v>4</v>
      </c>
      <c r="B120" s="139">
        <v>0.88</v>
      </c>
      <c r="C120" s="71">
        <f t="shared" si="0"/>
        <v>1.056</v>
      </c>
      <c r="D120" s="139">
        <v>3.4</v>
      </c>
    </row>
    <row r="121" spans="1:4" ht="12.75">
      <c r="A121" s="129">
        <v>8</v>
      </c>
      <c r="B121" s="139">
        <v>0.82</v>
      </c>
      <c r="C121" s="71">
        <f t="shared" si="0"/>
        <v>0.9839999999999999</v>
      </c>
      <c r="D121" s="139">
        <v>3.4</v>
      </c>
    </row>
    <row r="122" spans="1:4" ht="12.75">
      <c r="A122" s="129">
        <v>16</v>
      </c>
      <c r="B122" s="139">
        <v>0.76</v>
      </c>
      <c r="C122" s="71">
        <f t="shared" si="0"/>
        <v>0.9119999999999999</v>
      </c>
      <c r="D122" s="139">
        <v>3.4</v>
      </c>
    </row>
    <row r="123" spans="1:4" ht="12.75">
      <c r="A123" s="129">
        <v>32</v>
      </c>
      <c r="B123" s="139">
        <v>0.7</v>
      </c>
      <c r="C123" s="71">
        <f t="shared" si="0"/>
        <v>0.84</v>
      </c>
      <c r="D123" s="139">
        <v>3.4</v>
      </c>
    </row>
    <row r="124" spans="1:4" ht="12.75">
      <c r="A124" s="129">
        <v>64</v>
      </c>
      <c r="B124" s="139">
        <v>0.64</v>
      </c>
      <c r="C124" s="71">
        <f t="shared" si="0"/>
        <v>0.768</v>
      </c>
      <c r="D124" s="139">
        <v>3.4</v>
      </c>
    </row>
    <row r="125" spans="1:4" ht="12.75">
      <c r="A125" s="129">
        <v>128</v>
      </c>
      <c r="B125" s="139">
        <v>0.58</v>
      </c>
      <c r="C125" s="71">
        <f t="shared" si="0"/>
        <v>0.696</v>
      </c>
      <c r="D125" s="139">
        <v>3.4</v>
      </c>
    </row>
    <row r="126" spans="1:4" ht="12.75">
      <c r="A126" s="129">
        <v>256</v>
      </c>
      <c r="B126" s="139">
        <v>0.52</v>
      </c>
      <c r="C126" s="71">
        <f t="shared" si="0"/>
        <v>0.624</v>
      </c>
      <c r="D126" s="139">
        <v>3.4</v>
      </c>
    </row>
    <row r="127" spans="1:4" ht="12.75">
      <c r="A127" s="129">
        <v>512</v>
      </c>
      <c r="B127" s="139">
        <v>0.46</v>
      </c>
      <c r="C127" s="71">
        <f t="shared" si="0"/>
        <v>0.552</v>
      </c>
      <c r="D127" s="139">
        <v>3.4</v>
      </c>
    </row>
    <row r="128" spans="1:4" ht="13.5" thickBot="1">
      <c r="A128" s="132">
        <v>1024</v>
      </c>
      <c r="B128" s="140">
        <v>0.4</v>
      </c>
      <c r="C128" s="141">
        <f t="shared" si="0"/>
        <v>0.48</v>
      </c>
      <c r="D128" s="140">
        <v>3.4</v>
      </c>
    </row>
    <row r="129" ht="12.75"/>
    <row r="130" ht="12.75"/>
    <row r="131" spans="1:11" ht="12.75">
      <c r="A131" s="35" t="s">
        <v>78</v>
      </c>
      <c r="D131" s="142"/>
      <c r="E131" s="142"/>
      <c r="F131" s="142"/>
      <c r="G131" s="142"/>
      <c r="H131" s="142"/>
      <c r="I131" s="142"/>
      <c r="J131" s="142"/>
      <c r="K131" s="143"/>
    </row>
    <row r="132" spans="1:9" ht="12.75">
      <c r="A132" s="23" t="s">
        <v>106</v>
      </c>
      <c r="B132" s="144">
        <f>10%/100</f>
        <v>0.001</v>
      </c>
      <c r="C132" s="144">
        <f>15%/100</f>
        <v>0.0015</v>
      </c>
      <c r="D132" s="144">
        <f>20%/100</f>
        <v>0.002</v>
      </c>
      <c r="E132" s="144">
        <f>10%/100</f>
        <v>0.001</v>
      </c>
      <c r="F132" s="144">
        <f>15%/100</f>
        <v>0.0015</v>
      </c>
      <c r="G132" s="144">
        <f>20%/100</f>
        <v>0.002</v>
      </c>
      <c r="H132" s="35"/>
      <c r="I132" s="35"/>
    </row>
    <row r="133" spans="1:9" ht="12.75">
      <c r="A133" s="73" t="s">
        <v>0</v>
      </c>
      <c r="B133" s="73" t="s">
        <v>65</v>
      </c>
      <c r="C133" s="73" t="s">
        <v>66</v>
      </c>
      <c r="D133" s="73" t="s">
        <v>71</v>
      </c>
      <c r="E133" s="73" t="s">
        <v>67</v>
      </c>
      <c r="F133" s="74" t="s">
        <v>68</v>
      </c>
      <c r="G133" s="74" t="s">
        <v>69</v>
      </c>
      <c r="H133" s="75" t="s">
        <v>72</v>
      </c>
      <c r="I133" s="75"/>
    </row>
    <row r="134" spans="1:13" ht="12.75">
      <c r="A134" s="78">
        <v>0.05</v>
      </c>
      <c r="B134" s="87">
        <f aca="true" t="shared" si="1" ref="B134:B146">H134+$B$132</f>
        <v>0.001</v>
      </c>
      <c r="C134" s="87">
        <f aca="true" t="shared" si="2" ref="C134:C146">$H134+$C$132</f>
        <v>0.0015</v>
      </c>
      <c r="D134" s="87">
        <f aca="true" t="shared" si="3" ref="D134:D146">$H134+$D$132</f>
        <v>0.002</v>
      </c>
      <c r="E134" s="87">
        <f>H134+$E$132</f>
        <v>0.001</v>
      </c>
      <c r="F134" s="87">
        <f>$H134+$F$132</f>
        <v>0.0015</v>
      </c>
      <c r="G134" s="87">
        <f>$H134+$G$132</f>
        <v>0.002</v>
      </c>
      <c r="H134" s="88">
        <v>0</v>
      </c>
      <c r="I134" s="88"/>
      <c r="J134" s="144"/>
      <c r="K134" s="144"/>
      <c r="L134" s="144"/>
      <c r="M134" s="144"/>
    </row>
    <row r="135" spans="1:13" ht="12.75">
      <c r="A135" s="78">
        <v>0.1</v>
      </c>
      <c r="B135" s="87">
        <f t="shared" si="1"/>
        <v>0.019</v>
      </c>
      <c r="C135" s="87">
        <f t="shared" si="2"/>
        <v>0.0195</v>
      </c>
      <c r="D135" s="87">
        <f t="shared" si="3"/>
        <v>0.019999999999999997</v>
      </c>
      <c r="E135" s="87">
        <f aca="true" t="shared" si="4" ref="E135:E159">H135+$E$132</f>
        <v>0.019</v>
      </c>
      <c r="F135" s="87">
        <f aca="true" t="shared" si="5" ref="F135:F159">$H135+$F$132</f>
        <v>0.0195</v>
      </c>
      <c r="G135" s="87">
        <f aca="true" t="shared" si="6" ref="G135:G159">$H135+$G$132</f>
        <v>0.019999999999999997</v>
      </c>
      <c r="H135" s="88">
        <v>0.018</v>
      </c>
      <c r="I135" s="88"/>
      <c r="J135" s="144"/>
      <c r="K135" s="144"/>
      <c r="L135" s="144"/>
      <c r="M135" s="144"/>
    </row>
    <row r="136" spans="1:13" ht="12.75">
      <c r="A136" s="78">
        <f>300000000/1000000000</f>
        <v>0.3</v>
      </c>
      <c r="B136" s="87">
        <f t="shared" si="1"/>
        <v>0.019</v>
      </c>
      <c r="C136" s="87">
        <f t="shared" si="2"/>
        <v>0.0195</v>
      </c>
      <c r="D136" s="87">
        <f t="shared" si="3"/>
        <v>0.019999999999999997</v>
      </c>
      <c r="E136" s="87">
        <f t="shared" si="4"/>
        <v>0.019</v>
      </c>
      <c r="F136" s="87">
        <f t="shared" si="5"/>
        <v>0.0195</v>
      </c>
      <c r="G136" s="87">
        <f t="shared" si="6"/>
        <v>0.019999999999999997</v>
      </c>
      <c r="H136" s="88">
        <v>0.018</v>
      </c>
      <c r="I136" s="88"/>
      <c r="J136" s="144"/>
      <c r="K136" s="144"/>
      <c r="L136" s="144"/>
      <c r="M136" s="144"/>
    </row>
    <row r="137" spans="1:13" ht="12.75">
      <c r="A137" s="78">
        <f>500000000/1000000000</f>
        <v>0.5</v>
      </c>
      <c r="B137" s="87">
        <f t="shared" si="1"/>
        <v>0.019</v>
      </c>
      <c r="C137" s="87">
        <f t="shared" si="2"/>
        <v>0.0195</v>
      </c>
      <c r="D137" s="87">
        <f t="shared" si="3"/>
        <v>0.019999999999999997</v>
      </c>
      <c r="E137" s="87">
        <f t="shared" si="4"/>
        <v>0.019</v>
      </c>
      <c r="F137" s="87">
        <f t="shared" si="5"/>
        <v>0.0195</v>
      </c>
      <c r="G137" s="87">
        <f t="shared" si="6"/>
        <v>0.019999999999999997</v>
      </c>
      <c r="H137" s="88">
        <v>0.018</v>
      </c>
      <c r="I137" s="88"/>
      <c r="J137" s="144"/>
      <c r="K137" s="144"/>
      <c r="L137" s="144"/>
      <c r="M137" s="144"/>
    </row>
    <row r="138" spans="1:13" ht="12.75">
      <c r="A138" s="78">
        <v>0.8</v>
      </c>
      <c r="B138" s="87">
        <f t="shared" si="1"/>
        <v>0.019</v>
      </c>
      <c r="C138" s="87">
        <f t="shared" si="2"/>
        <v>0.0195</v>
      </c>
      <c r="D138" s="87">
        <f t="shared" si="3"/>
        <v>0.019999999999999997</v>
      </c>
      <c r="E138" s="87">
        <f t="shared" si="4"/>
        <v>0.019</v>
      </c>
      <c r="F138" s="87">
        <f t="shared" si="5"/>
        <v>0.0195</v>
      </c>
      <c r="G138" s="87">
        <f t="shared" si="6"/>
        <v>0.019999999999999997</v>
      </c>
      <c r="H138" s="145">
        <v>0.018</v>
      </c>
      <c r="I138" s="88"/>
      <c r="J138" s="144"/>
      <c r="K138" s="144"/>
      <c r="L138" s="144"/>
      <c r="M138" s="144"/>
    </row>
    <row r="139" spans="1:12" ht="12.75">
      <c r="A139" s="78">
        <v>1</v>
      </c>
      <c r="B139" s="87">
        <f t="shared" si="1"/>
        <v>0.022000000000000002</v>
      </c>
      <c r="C139" s="87">
        <f t="shared" si="2"/>
        <v>0.022500000000000003</v>
      </c>
      <c r="D139" s="87">
        <f t="shared" si="3"/>
        <v>0.023</v>
      </c>
      <c r="E139" s="87">
        <f t="shared" si="4"/>
        <v>0.022000000000000002</v>
      </c>
      <c r="F139" s="87">
        <f t="shared" si="5"/>
        <v>0.022500000000000003</v>
      </c>
      <c r="G139" s="87">
        <f t="shared" si="6"/>
        <v>0.023</v>
      </c>
      <c r="H139" s="88">
        <v>0.021</v>
      </c>
      <c r="I139" s="88"/>
      <c r="J139" s="144"/>
      <c r="L139" s="144"/>
    </row>
    <row r="140" spans="1:12" ht="12.75">
      <c r="A140" s="78">
        <v>1.2</v>
      </c>
      <c r="B140" s="87">
        <f t="shared" si="1"/>
        <v>0.022000000000000002</v>
      </c>
      <c r="C140" s="87">
        <f t="shared" si="2"/>
        <v>0.022500000000000003</v>
      </c>
      <c r="D140" s="87">
        <f t="shared" si="3"/>
        <v>0.023</v>
      </c>
      <c r="E140" s="87">
        <f t="shared" si="4"/>
        <v>0.022000000000000002</v>
      </c>
      <c r="F140" s="87">
        <f t="shared" si="5"/>
        <v>0.022500000000000003</v>
      </c>
      <c r="G140" s="87">
        <f t="shared" si="6"/>
        <v>0.023</v>
      </c>
      <c r="H140" s="88">
        <v>0.021</v>
      </c>
      <c r="I140" s="88"/>
      <c r="J140" s="144"/>
      <c r="L140" s="144"/>
    </row>
    <row r="141" spans="1:12" ht="12.75">
      <c r="A141" s="78">
        <v>1.5</v>
      </c>
      <c r="B141" s="87">
        <f t="shared" si="1"/>
        <v>0.022000000000000002</v>
      </c>
      <c r="C141" s="87">
        <f t="shared" si="2"/>
        <v>0.022500000000000003</v>
      </c>
      <c r="D141" s="87">
        <f t="shared" si="3"/>
        <v>0.023</v>
      </c>
      <c r="E141" s="87">
        <f t="shared" si="4"/>
        <v>0.022000000000000002</v>
      </c>
      <c r="F141" s="87">
        <f t="shared" si="5"/>
        <v>0.022500000000000003</v>
      </c>
      <c r="G141" s="87">
        <f t="shared" si="6"/>
        <v>0.023</v>
      </c>
      <c r="H141" s="88">
        <v>0.021</v>
      </c>
      <c r="I141" s="88"/>
      <c r="J141" s="144"/>
      <c r="L141" s="144"/>
    </row>
    <row r="142" spans="1:12" ht="12.75">
      <c r="A142" s="78">
        <v>2</v>
      </c>
      <c r="B142" s="87">
        <f t="shared" si="1"/>
        <v>0.022000000000000002</v>
      </c>
      <c r="C142" s="87">
        <f t="shared" si="2"/>
        <v>0.022500000000000003</v>
      </c>
      <c r="D142" s="87">
        <f t="shared" si="3"/>
        <v>0.023</v>
      </c>
      <c r="E142" s="87">
        <f t="shared" si="4"/>
        <v>0.022000000000000002</v>
      </c>
      <c r="F142" s="87">
        <f t="shared" si="5"/>
        <v>0.022500000000000003</v>
      </c>
      <c r="G142" s="87">
        <f t="shared" si="6"/>
        <v>0.023</v>
      </c>
      <c r="H142" s="88">
        <v>0.021</v>
      </c>
      <c r="I142" s="88"/>
      <c r="J142" s="144"/>
      <c r="L142" s="144"/>
    </row>
    <row r="143" spans="1:12" ht="12.75">
      <c r="A143" s="78">
        <v>3</v>
      </c>
      <c r="B143" s="87">
        <f t="shared" si="1"/>
        <v>0.022000000000000002</v>
      </c>
      <c r="C143" s="87">
        <f t="shared" si="2"/>
        <v>0.022500000000000003</v>
      </c>
      <c r="D143" s="87">
        <f t="shared" si="3"/>
        <v>0.023</v>
      </c>
      <c r="E143" s="87">
        <f t="shared" si="4"/>
        <v>0.022000000000000002</v>
      </c>
      <c r="F143" s="87">
        <f t="shared" si="5"/>
        <v>0.022500000000000003</v>
      </c>
      <c r="G143" s="87">
        <f t="shared" si="6"/>
        <v>0.023</v>
      </c>
      <c r="H143" s="88">
        <v>0.021</v>
      </c>
      <c r="I143" s="88"/>
      <c r="J143" s="144"/>
      <c r="L143" s="144"/>
    </row>
    <row r="144" spans="1:12" ht="12.75">
      <c r="A144" s="78">
        <v>4</v>
      </c>
      <c r="B144" s="87">
        <f t="shared" si="1"/>
        <v>0.022000000000000002</v>
      </c>
      <c r="C144" s="87">
        <f t="shared" si="2"/>
        <v>0.022500000000000003</v>
      </c>
      <c r="D144" s="87">
        <f t="shared" si="3"/>
        <v>0.023</v>
      </c>
      <c r="E144" s="87">
        <f t="shared" si="4"/>
        <v>0.022000000000000002</v>
      </c>
      <c r="F144" s="87">
        <f t="shared" si="5"/>
        <v>0.022500000000000003</v>
      </c>
      <c r="G144" s="87">
        <f t="shared" si="6"/>
        <v>0.023</v>
      </c>
      <c r="H144" s="88">
        <v>0.021</v>
      </c>
      <c r="I144" s="88"/>
      <c r="J144" s="144"/>
      <c r="L144" s="144"/>
    </row>
    <row r="145" spans="1:12" ht="12.75">
      <c r="A145" s="78">
        <v>5</v>
      </c>
      <c r="B145" s="87">
        <f t="shared" si="1"/>
        <v>0.022000000000000002</v>
      </c>
      <c r="C145" s="87">
        <f t="shared" si="2"/>
        <v>0.022500000000000003</v>
      </c>
      <c r="D145" s="87">
        <f t="shared" si="3"/>
        <v>0.023</v>
      </c>
      <c r="E145" s="87">
        <f t="shared" si="4"/>
        <v>0.022000000000000002</v>
      </c>
      <c r="F145" s="87">
        <f t="shared" si="5"/>
        <v>0.022500000000000003</v>
      </c>
      <c r="G145" s="87">
        <f t="shared" si="6"/>
        <v>0.023</v>
      </c>
      <c r="H145" s="88">
        <v>0.021</v>
      </c>
      <c r="I145" s="88"/>
      <c r="J145" s="144"/>
      <c r="L145" s="144"/>
    </row>
    <row r="146" spans="1:12" ht="12.75">
      <c r="A146" s="78">
        <v>6</v>
      </c>
      <c r="B146" s="87">
        <f t="shared" si="1"/>
        <v>0.022000000000000002</v>
      </c>
      <c r="C146" s="87">
        <f t="shared" si="2"/>
        <v>0.022500000000000003</v>
      </c>
      <c r="D146" s="87">
        <f t="shared" si="3"/>
        <v>0.023</v>
      </c>
      <c r="E146" s="87">
        <f t="shared" si="4"/>
        <v>0.022000000000000002</v>
      </c>
      <c r="F146" s="87">
        <f t="shared" si="5"/>
        <v>0.022500000000000003</v>
      </c>
      <c r="G146" s="87">
        <f t="shared" si="6"/>
        <v>0.023</v>
      </c>
      <c r="H146" s="88">
        <v>0.021</v>
      </c>
      <c r="I146" s="88"/>
      <c r="J146" s="144"/>
      <c r="L146" s="144"/>
    </row>
    <row r="147" spans="1:12" ht="12.75">
      <c r="A147" s="78">
        <v>7</v>
      </c>
      <c r="B147" s="146" t="s">
        <v>124</v>
      </c>
      <c r="C147" s="146" t="s">
        <v>124</v>
      </c>
      <c r="D147" s="146" t="s">
        <v>124</v>
      </c>
      <c r="E147" s="87">
        <f t="shared" si="4"/>
        <v>0.024</v>
      </c>
      <c r="F147" s="87">
        <f t="shared" si="5"/>
        <v>0.0245</v>
      </c>
      <c r="G147" s="87">
        <f t="shared" si="6"/>
        <v>0.025</v>
      </c>
      <c r="H147" s="88">
        <v>0.023</v>
      </c>
      <c r="I147" s="88"/>
      <c r="J147" s="144"/>
      <c r="L147" s="144"/>
    </row>
    <row r="148" spans="1:12" ht="12.75">
      <c r="A148" s="78">
        <v>8</v>
      </c>
      <c r="B148" s="146" t="s">
        <v>124</v>
      </c>
      <c r="C148" s="146" t="s">
        <v>124</v>
      </c>
      <c r="D148" s="146" t="s">
        <v>124</v>
      </c>
      <c r="E148" s="87">
        <f t="shared" si="4"/>
        <v>0.024</v>
      </c>
      <c r="F148" s="87">
        <f t="shared" si="5"/>
        <v>0.0245</v>
      </c>
      <c r="G148" s="87">
        <f t="shared" si="6"/>
        <v>0.025</v>
      </c>
      <c r="H148" s="88">
        <v>0.023</v>
      </c>
      <c r="I148" s="88"/>
      <c r="J148" s="144"/>
      <c r="L148" s="144"/>
    </row>
    <row r="149" spans="1:12" ht="12.75">
      <c r="A149" s="78">
        <v>9</v>
      </c>
      <c r="B149" s="146" t="s">
        <v>124</v>
      </c>
      <c r="C149" s="146" t="s">
        <v>124</v>
      </c>
      <c r="D149" s="146" t="s">
        <v>124</v>
      </c>
      <c r="E149" s="87">
        <f t="shared" si="4"/>
        <v>0.024</v>
      </c>
      <c r="F149" s="87">
        <f t="shared" si="5"/>
        <v>0.0245</v>
      </c>
      <c r="G149" s="87">
        <f t="shared" si="6"/>
        <v>0.025</v>
      </c>
      <c r="H149" s="88">
        <v>0.023</v>
      </c>
      <c r="I149" s="88"/>
      <c r="J149" s="144"/>
      <c r="L149" s="144"/>
    </row>
    <row r="150" spans="1:12" ht="12.75">
      <c r="A150" s="78">
        <v>10</v>
      </c>
      <c r="B150" s="146" t="s">
        <v>124</v>
      </c>
      <c r="C150" s="146" t="s">
        <v>124</v>
      </c>
      <c r="D150" s="146" t="s">
        <v>124</v>
      </c>
      <c r="E150" s="87">
        <f t="shared" si="4"/>
        <v>0.024</v>
      </c>
      <c r="F150" s="87">
        <f t="shared" si="5"/>
        <v>0.0245</v>
      </c>
      <c r="G150" s="87">
        <f t="shared" si="6"/>
        <v>0.025</v>
      </c>
      <c r="H150" s="88">
        <v>0.023</v>
      </c>
      <c r="I150" s="88"/>
      <c r="J150" s="144"/>
      <c r="L150" s="144"/>
    </row>
    <row r="151" spans="1:12" ht="12.75">
      <c r="A151" s="78">
        <v>11</v>
      </c>
      <c r="B151" s="146" t="s">
        <v>124</v>
      </c>
      <c r="C151" s="146" t="s">
        <v>124</v>
      </c>
      <c r="D151" s="146" t="s">
        <v>124</v>
      </c>
      <c r="E151" s="87">
        <f t="shared" si="4"/>
        <v>0.024</v>
      </c>
      <c r="F151" s="87">
        <f t="shared" si="5"/>
        <v>0.0245</v>
      </c>
      <c r="G151" s="87">
        <f t="shared" si="6"/>
        <v>0.025</v>
      </c>
      <c r="H151" s="88">
        <v>0.023</v>
      </c>
      <c r="I151" s="88"/>
      <c r="J151" s="144"/>
      <c r="L151" s="144"/>
    </row>
    <row r="152" spans="1:12" ht="12.75">
      <c r="A152" s="78">
        <v>12</v>
      </c>
      <c r="B152" s="146" t="s">
        <v>124</v>
      </c>
      <c r="C152" s="146" t="s">
        <v>124</v>
      </c>
      <c r="D152" s="146" t="s">
        <v>124</v>
      </c>
      <c r="E152" s="87">
        <f t="shared" si="4"/>
        <v>0.024</v>
      </c>
      <c r="F152" s="87">
        <f t="shared" si="5"/>
        <v>0.0245</v>
      </c>
      <c r="G152" s="87">
        <f t="shared" si="6"/>
        <v>0.025</v>
      </c>
      <c r="H152" s="88">
        <v>0.023</v>
      </c>
      <c r="I152" s="88"/>
      <c r="J152" s="144"/>
      <c r="L152" s="144"/>
    </row>
    <row r="153" spans="1:12" ht="12.75">
      <c r="A153" s="78">
        <v>12.4</v>
      </c>
      <c r="B153" s="146" t="s">
        <v>124</v>
      </c>
      <c r="C153" s="146" t="s">
        <v>124</v>
      </c>
      <c r="D153" s="146" t="s">
        <v>124</v>
      </c>
      <c r="E153" s="87">
        <f t="shared" si="4"/>
        <v>0.024</v>
      </c>
      <c r="F153" s="87">
        <f t="shared" si="5"/>
        <v>0.0245</v>
      </c>
      <c r="G153" s="87">
        <f t="shared" si="6"/>
        <v>0.025</v>
      </c>
      <c r="H153" s="88">
        <v>0.023</v>
      </c>
      <c r="I153" s="88"/>
      <c r="J153" s="144"/>
      <c r="L153" s="144"/>
    </row>
    <row r="154" spans="1:12" ht="12.75">
      <c r="A154" s="78">
        <v>13</v>
      </c>
      <c r="B154" s="146" t="s">
        <v>124</v>
      </c>
      <c r="C154" s="146" t="s">
        <v>124</v>
      </c>
      <c r="D154" s="146" t="s">
        <v>124</v>
      </c>
      <c r="E154" s="87">
        <f t="shared" si="4"/>
        <v>0.024</v>
      </c>
      <c r="F154" s="87">
        <f t="shared" si="5"/>
        <v>0.0245</v>
      </c>
      <c r="G154" s="87">
        <f t="shared" si="6"/>
        <v>0.025</v>
      </c>
      <c r="H154" s="88">
        <v>0.023</v>
      </c>
      <c r="I154" s="88"/>
      <c r="J154" s="144"/>
      <c r="L154" s="144"/>
    </row>
    <row r="155" spans="1:12" ht="12.75">
      <c r="A155" s="78">
        <v>14</v>
      </c>
      <c r="B155" s="146" t="s">
        <v>124</v>
      </c>
      <c r="C155" s="146" t="s">
        <v>124</v>
      </c>
      <c r="D155" s="146" t="s">
        <v>124</v>
      </c>
      <c r="E155" s="87">
        <f t="shared" si="4"/>
        <v>0.026000000000000002</v>
      </c>
      <c r="F155" s="87">
        <f t="shared" si="5"/>
        <v>0.026500000000000003</v>
      </c>
      <c r="G155" s="87">
        <f t="shared" si="6"/>
        <v>0.027000000000000003</v>
      </c>
      <c r="H155" s="88">
        <v>0.025</v>
      </c>
      <c r="I155" s="88"/>
      <c r="L155" s="144"/>
    </row>
    <row r="156" spans="1:12" ht="12.75">
      <c r="A156" s="78">
        <v>15</v>
      </c>
      <c r="B156" s="146" t="s">
        <v>124</v>
      </c>
      <c r="C156" s="146" t="s">
        <v>124</v>
      </c>
      <c r="D156" s="146" t="s">
        <v>124</v>
      </c>
      <c r="E156" s="87">
        <f t="shared" si="4"/>
        <v>0.026000000000000002</v>
      </c>
      <c r="F156" s="87">
        <f t="shared" si="5"/>
        <v>0.026500000000000003</v>
      </c>
      <c r="G156" s="87">
        <f t="shared" si="6"/>
        <v>0.027000000000000003</v>
      </c>
      <c r="H156" s="88">
        <v>0.025</v>
      </c>
      <c r="I156" s="88"/>
      <c r="L156" s="144"/>
    </row>
    <row r="157" spans="1:12" ht="12.75">
      <c r="A157" s="78">
        <v>16</v>
      </c>
      <c r="B157" s="146" t="s">
        <v>124</v>
      </c>
      <c r="C157" s="146" t="s">
        <v>124</v>
      </c>
      <c r="D157" s="146" t="s">
        <v>124</v>
      </c>
      <c r="E157" s="87">
        <f t="shared" si="4"/>
        <v>0.026000000000000002</v>
      </c>
      <c r="F157" s="87">
        <f t="shared" si="5"/>
        <v>0.026500000000000003</v>
      </c>
      <c r="G157" s="87">
        <f t="shared" si="6"/>
        <v>0.027000000000000003</v>
      </c>
      <c r="H157" s="88">
        <v>0.025</v>
      </c>
      <c r="I157" s="88"/>
      <c r="L157" s="144"/>
    </row>
    <row r="158" spans="1:12" ht="12.75">
      <c r="A158" s="78">
        <v>17</v>
      </c>
      <c r="B158" s="146" t="s">
        <v>124</v>
      </c>
      <c r="C158" s="146" t="s">
        <v>124</v>
      </c>
      <c r="D158" s="146" t="s">
        <v>124</v>
      </c>
      <c r="E158" s="87">
        <f t="shared" si="4"/>
        <v>0.026000000000000002</v>
      </c>
      <c r="F158" s="87">
        <f t="shared" si="5"/>
        <v>0.026500000000000003</v>
      </c>
      <c r="G158" s="87">
        <f t="shared" si="6"/>
        <v>0.027000000000000003</v>
      </c>
      <c r="H158" s="88">
        <v>0.025</v>
      </c>
      <c r="I158" s="88"/>
      <c r="L158" s="144"/>
    </row>
    <row r="159" spans="1:12" ht="12.75">
      <c r="A159" s="78">
        <v>18</v>
      </c>
      <c r="B159" s="146" t="s">
        <v>124</v>
      </c>
      <c r="C159" s="146" t="s">
        <v>124</v>
      </c>
      <c r="D159" s="146" t="s">
        <v>124</v>
      </c>
      <c r="E159" s="87">
        <f t="shared" si="4"/>
        <v>0.026000000000000002</v>
      </c>
      <c r="F159" s="87">
        <f t="shared" si="5"/>
        <v>0.026500000000000003</v>
      </c>
      <c r="G159" s="87">
        <f t="shared" si="6"/>
        <v>0.027000000000000003</v>
      </c>
      <c r="H159" s="88">
        <v>0.025</v>
      </c>
      <c r="I159" s="88"/>
      <c r="L159" s="144"/>
    </row>
    <row r="160" ht="14.25" customHeight="1">
      <c r="A160" s="23" t="s">
        <v>107</v>
      </c>
    </row>
    <row r="161" spans="1:7" ht="14.25" customHeight="1">
      <c r="A161" s="73" t="s">
        <v>0</v>
      </c>
      <c r="B161" s="73" t="s">
        <v>65</v>
      </c>
      <c r="C161" s="73" t="s">
        <v>66</v>
      </c>
      <c r="D161" s="73" t="s">
        <v>71</v>
      </c>
      <c r="E161" s="73" t="s">
        <v>67</v>
      </c>
      <c r="F161" s="74" t="s">
        <v>68</v>
      </c>
      <c r="G161" s="74" t="s">
        <v>69</v>
      </c>
    </row>
    <row r="162" spans="1:11" ht="14.25" customHeight="1">
      <c r="A162" s="78">
        <v>0.05</v>
      </c>
      <c r="B162" s="87">
        <v>0</v>
      </c>
      <c r="C162" s="87">
        <v>0</v>
      </c>
      <c r="D162" s="87">
        <v>0</v>
      </c>
      <c r="E162" s="87">
        <v>0</v>
      </c>
      <c r="F162" s="87">
        <v>0</v>
      </c>
      <c r="G162" s="87">
        <v>0</v>
      </c>
      <c r="I162" s="85"/>
      <c r="J162" s="85" t="s">
        <v>109</v>
      </c>
      <c r="K162" s="85" t="s">
        <v>110</v>
      </c>
    </row>
    <row r="163" spans="1:11" ht="14.25" customHeight="1">
      <c r="A163" s="78">
        <v>0.1</v>
      </c>
      <c r="B163" s="87">
        <v>0.018</v>
      </c>
      <c r="C163" s="87">
        <v>0.018</v>
      </c>
      <c r="D163" s="87">
        <v>0.018</v>
      </c>
      <c r="E163" s="87">
        <v>0.018</v>
      </c>
      <c r="F163" s="87">
        <v>0.018</v>
      </c>
      <c r="G163" s="87">
        <v>0.018</v>
      </c>
      <c r="I163" s="85" t="s">
        <v>108</v>
      </c>
      <c r="J163" s="147">
        <f>INDEX(A133:G159,MATCH(calculator!B7,Data!A133:A159,1),MATCH(calculator!B5,Data!A133:G133,0))</f>
        <v>0.022000000000000002</v>
      </c>
      <c r="K163" s="147">
        <f>INDEX(A161:G187,MATCH(calculator!B7,A161:A187,1),MATCH(calculator!B5,A161:G161,0))</f>
        <v>0.021</v>
      </c>
    </row>
    <row r="164" spans="1:7" ht="14.25" customHeight="1">
      <c r="A164" s="78">
        <f>300000000/1000000000</f>
        <v>0.3</v>
      </c>
      <c r="B164" s="87">
        <v>0.018</v>
      </c>
      <c r="C164" s="87">
        <v>0.018</v>
      </c>
      <c r="D164" s="87">
        <v>0.018</v>
      </c>
      <c r="E164" s="87">
        <v>0.018</v>
      </c>
      <c r="F164" s="87">
        <v>0.018</v>
      </c>
      <c r="G164" s="87">
        <v>0.018</v>
      </c>
    </row>
    <row r="165" spans="1:7" ht="14.25" customHeight="1">
      <c r="A165" s="78">
        <f>500000000/1000000000</f>
        <v>0.5</v>
      </c>
      <c r="B165" s="87">
        <v>0.018</v>
      </c>
      <c r="C165" s="87">
        <v>0.018</v>
      </c>
      <c r="D165" s="87">
        <v>0.018</v>
      </c>
      <c r="E165" s="87">
        <v>0.018</v>
      </c>
      <c r="F165" s="87">
        <v>0.018</v>
      </c>
      <c r="G165" s="87">
        <v>0.018</v>
      </c>
    </row>
    <row r="166" spans="1:7" ht="14.25" customHeight="1">
      <c r="A166" s="78">
        <v>0.8</v>
      </c>
      <c r="B166" s="146">
        <v>0.018</v>
      </c>
      <c r="C166" s="146">
        <v>0.018</v>
      </c>
      <c r="D166" s="146">
        <v>0.018</v>
      </c>
      <c r="E166" s="146">
        <v>0.018</v>
      </c>
      <c r="F166" s="146">
        <v>0.018</v>
      </c>
      <c r="G166" s="146">
        <v>0.018</v>
      </c>
    </row>
    <row r="167" spans="1:7" ht="14.25" customHeight="1">
      <c r="A167" s="78">
        <v>1</v>
      </c>
      <c r="B167" s="87">
        <v>0.021</v>
      </c>
      <c r="C167" s="87">
        <v>0.021</v>
      </c>
      <c r="D167" s="87">
        <v>0.021</v>
      </c>
      <c r="E167" s="87">
        <v>0.021</v>
      </c>
      <c r="F167" s="87">
        <v>0.021</v>
      </c>
      <c r="G167" s="87">
        <v>0.021</v>
      </c>
    </row>
    <row r="168" spans="1:7" ht="14.25" customHeight="1">
      <c r="A168" s="78">
        <v>1.2</v>
      </c>
      <c r="B168" s="87">
        <v>0.021</v>
      </c>
      <c r="C168" s="87">
        <v>0.021</v>
      </c>
      <c r="D168" s="87">
        <v>0.021</v>
      </c>
      <c r="E168" s="87">
        <v>0.021</v>
      </c>
      <c r="F168" s="87">
        <v>0.021</v>
      </c>
      <c r="G168" s="87">
        <v>0.021</v>
      </c>
    </row>
    <row r="169" spans="1:7" ht="14.25" customHeight="1">
      <c r="A169" s="78">
        <v>1.5</v>
      </c>
      <c r="B169" s="87">
        <v>0.021</v>
      </c>
      <c r="C169" s="87">
        <v>0.021</v>
      </c>
      <c r="D169" s="87">
        <v>0.021</v>
      </c>
      <c r="E169" s="87">
        <v>0.021</v>
      </c>
      <c r="F169" s="87">
        <v>0.021</v>
      </c>
      <c r="G169" s="87">
        <v>0.021</v>
      </c>
    </row>
    <row r="170" spans="1:7" ht="14.25" customHeight="1">
      <c r="A170" s="78">
        <v>2</v>
      </c>
      <c r="B170" s="87">
        <v>0.021</v>
      </c>
      <c r="C170" s="87">
        <v>0.021</v>
      </c>
      <c r="D170" s="87">
        <v>0.021</v>
      </c>
      <c r="E170" s="87">
        <v>0.021</v>
      </c>
      <c r="F170" s="87">
        <v>0.021</v>
      </c>
      <c r="G170" s="87">
        <v>0.021</v>
      </c>
    </row>
    <row r="171" spans="1:7" ht="14.25" customHeight="1">
      <c r="A171" s="78">
        <v>3</v>
      </c>
      <c r="B171" s="87">
        <v>0.021</v>
      </c>
      <c r="C171" s="87">
        <v>0.021</v>
      </c>
      <c r="D171" s="87">
        <v>0.021</v>
      </c>
      <c r="E171" s="87">
        <v>0.021</v>
      </c>
      <c r="F171" s="87">
        <v>0.021</v>
      </c>
      <c r="G171" s="87">
        <v>0.021</v>
      </c>
    </row>
    <row r="172" spans="1:7" ht="14.25" customHeight="1">
      <c r="A172" s="78">
        <v>4</v>
      </c>
      <c r="B172" s="87">
        <v>0.021</v>
      </c>
      <c r="C172" s="87">
        <v>0.021</v>
      </c>
      <c r="D172" s="87">
        <v>0.021</v>
      </c>
      <c r="E172" s="87">
        <v>0.021</v>
      </c>
      <c r="F172" s="87">
        <v>0.021</v>
      </c>
      <c r="G172" s="87">
        <v>0.021</v>
      </c>
    </row>
    <row r="173" spans="1:7" ht="14.25" customHeight="1">
      <c r="A173" s="78">
        <v>5</v>
      </c>
      <c r="B173" s="87">
        <v>0.021</v>
      </c>
      <c r="C173" s="87">
        <v>0.021</v>
      </c>
      <c r="D173" s="87">
        <v>0.021</v>
      </c>
      <c r="E173" s="87">
        <v>0.021</v>
      </c>
      <c r="F173" s="87">
        <v>0.021</v>
      </c>
      <c r="G173" s="87">
        <v>0.021</v>
      </c>
    </row>
    <row r="174" spans="1:7" ht="14.25" customHeight="1">
      <c r="A174" s="78">
        <v>6</v>
      </c>
      <c r="B174" s="87">
        <v>0.021</v>
      </c>
      <c r="C174" s="87">
        <v>0.021</v>
      </c>
      <c r="D174" s="87">
        <v>0.021</v>
      </c>
      <c r="E174" s="87">
        <v>0.021</v>
      </c>
      <c r="F174" s="87">
        <v>0.021</v>
      </c>
      <c r="G174" s="87">
        <v>0.021</v>
      </c>
    </row>
    <row r="175" spans="1:7" ht="14.25" customHeight="1">
      <c r="A175" s="78">
        <v>7</v>
      </c>
      <c r="B175" s="146" t="s">
        <v>124</v>
      </c>
      <c r="C175" s="146" t="s">
        <v>124</v>
      </c>
      <c r="D175" s="146" t="s">
        <v>124</v>
      </c>
      <c r="E175" s="87">
        <v>0.023</v>
      </c>
      <c r="F175" s="87">
        <v>0.023</v>
      </c>
      <c r="G175" s="87">
        <v>0.023</v>
      </c>
    </row>
    <row r="176" spans="1:7" ht="14.25" customHeight="1">
      <c r="A176" s="78">
        <v>8</v>
      </c>
      <c r="B176" s="146" t="s">
        <v>124</v>
      </c>
      <c r="C176" s="146" t="s">
        <v>124</v>
      </c>
      <c r="D176" s="146" t="s">
        <v>124</v>
      </c>
      <c r="E176" s="87">
        <v>0.023</v>
      </c>
      <c r="F176" s="87">
        <v>0.023</v>
      </c>
      <c r="G176" s="87">
        <v>0.023</v>
      </c>
    </row>
    <row r="177" spans="1:7" ht="14.25" customHeight="1">
      <c r="A177" s="78">
        <v>9</v>
      </c>
      <c r="B177" s="146" t="s">
        <v>124</v>
      </c>
      <c r="C177" s="146" t="s">
        <v>124</v>
      </c>
      <c r="D177" s="146" t="s">
        <v>124</v>
      </c>
      <c r="E177" s="87">
        <v>0.023</v>
      </c>
      <c r="F177" s="87">
        <v>0.023</v>
      </c>
      <c r="G177" s="87">
        <v>0.023</v>
      </c>
    </row>
    <row r="178" spans="1:7" ht="14.25" customHeight="1">
      <c r="A178" s="78">
        <v>10</v>
      </c>
      <c r="B178" s="146" t="s">
        <v>124</v>
      </c>
      <c r="C178" s="146" t="s">
        <v>124</v>
      </c>
      <c r="D178" s="146" t="s">
        <v>124</v>
      </c>
      <c r="E178" s="87">
        <v>0.023</v>
      </c>
      <c r="F178" s="87">
        <v>0.023</v>
      </c>
      <c r="G178" s="87">
        <v>0.023</v>
      </c>
    </row>
    <row r="179" spans="1:7" ht="14.25" customHeight="1">
      <c r="A179" s="78">
        <v>11</v>
      </c>
      <c r="B179" s="146" t="s">
        <v>124</v>
      </c>
      <c r="C179" s="146" t="s">
        <v>124</v>
      </c>
      <c r="D179" s="146" t="s">
        <v>124</v>
      </c>
      <c r="E179" s="87">
        <v>0.023</v>
      </c>
      <c r="F179" s="87">
        <v>0.023</v>
      </c>
      <c r="G179" s="87">
        <v>0.023</v>
      </c>
    </row>
    <row r="180" spans="1:7" ht="14.25" customHeight="1">
      <c r="A180" s="78">
        <v>12</v>
      </c>
      <c r="B180" s="146" t="s">
        <v>124</v>
      </c>
      <c r="C180" s="146" t="s">
        <v>124</v>
      </c>
      <c r="D180" s="146" t="s">
        <v>124</v>
      </c>
      <c r="E180" s="87">
        <v>0.023</v>
      </c>
      <c r="F180" s="87">
        <v>0.023</v>
      </c>
      <c r="G180" s="87">
        <v>0.023</v>
      </c>
    </row>
    <row r="181" spans="1:7" ht="14.25" customHeight="1">
      <c r="A181" s="78">
        <v>12.4</v>
      </c>
      <c r="B181" s="146" t="s">
        <v>124</v>
      </c>
      <c r="C181" s="146" t="s">
        <v>124</v>
      </c>
      <c r="D181" s="146" t="s">
        <v>124</v>
      </c>
      <c r="E181" s="87">
        <v>0.023</v>
      </c>
      <c r="F181" s="87">
        <v>0.023</v>
      </c>
      <c r="G181" s="87">
        <v>0.023</v>
      </c>
    </row>
    <row r="182" spans="1:7" ht="14.25" customHeight="1">
      <c r="A182" s="78">
        <v>13</v>
      </c>
      <c r="B182" s="146" t="s">
        <v>124</v>
      </c>
      <c r="C182" s="146" t="s">
        <v>124</v>
      </c>
      <c r="D182" s="146" t="s">
        <v>124</v>
      </c>
      <c r="E182" s="87">
        <v>0.023</v>
      </c>
      <c r="F182" s="87">
        <v>0.023</v>
      </c>
      <c r="G182" s="87">
        <v>0.023</v>
      </c>
    </row>
    <row r="183" spans="1:7" ht="14.25" customHeight="1">
      <c r="A183" s="78">
        <v>14</v>
      </c>
      <c r="B183" s="146" t="s">
        <v>124</v>
      </c>
      <c r="C183" s="146" t="s">
        <v>124</v>
      </c>
      <c r="D183" s="146" t="s">
        <v>124</v>
      </c>
      <c r="E183" s="87">
        <v>0.025</v>
      </c>
      <c r="F183" s="87">
        <v>0.025</v>
      </c>
      <c r="G183" s="87">
        <v>0.025</v>
      </c>
    </row>
    <row r="184" spans="1:7" ht="14.25" customHeight="1">
      <c r="A184" s="78">
        <v>15</v>
      </c>
      <c r="B184" s="146" t="s">
        <v>124</v>
      </c>
      <c r="C184" s="146" t="s">
        <v>124</v>
      </c>
      <c r="D184" s="146" t="s">
        <v>124</v>
      </c>
      <c r="E184" s="87">
        <v>0.025</v>
      </c>
      <c r="F184" s="87">
        <v>0.025</v>
      </c>
      <c r="G184" s="87">
        <v>0.025</v>
      </c>
    </row>
    <row r="185" spans="1:7" ht="14.25" customHeight="1">
      <c r="A185" s="78">
        <v>16</v>
      </c>
      <c r="B185" s="146" t="s">
        <v>124</v>
      </c>
      <c r="C185" s="146" t="s">
        <v>124</v>
      </c>
      <c r="D185" s="146" t="s">
        <v>124</v>
      </c>
      <c r="E185" s="87">
        <v>0.025</v>
      </c>
      <c r="F185" s="87">
        <v>0.025</v>
      </c>
      <c r="G185" s="87">
        <v>0.025</v>
      </c>
    </row>
    <row r="186" spans="1:7" ht="14.25" customHeight="1">
      <c r="A186" s="78">
        <v>17</v>
      </c>
      <c r="B186" s="146" t="s">
        <v>124</v>
      </c>
      <c r="C186" s="146" t="s">
        <v>124</v>
      </c>
      <c r="D186" s="146" t="s">
        <v>124</v>
      </c>
      <c r="E186" s="87">
        <v>0.025</v>
      </c>
      <c r="F186" s="87">
        <v>0.025</v>
      </c>
      <c r="G186" s="87">
        <v>0.025</v>
      </c>
    </row>
    <row r="187" spans="1:7" ht="14.25" customHeight="1">
      <c r="A187" s="78">
        <v>18</v>
      </c>
      <c r="B187" s="146" t="s">
        <v>124</v>
      </c>
      <c r="C187" s="146" t="s">
        <v>124</v>
      </c>
      <c r="D187" s="146" t="s">
        <v>124</v>
      </c>
      <c r="E187" s="87">
        <v>0.025</v>
      </c>
      <c r="F187" s="87">
        <v>0.025</v>
      </c>
      <c r="G187" s="87">
        <v>0.025</v>
      </c>
    </row>
    <row r="188" ht="14.25" customHeight="1"/>
    <row r="189" spans="1:2" ht="14.25" customHeight="1">
      <c r="A189" s="35" t="s">
        <v>125</v>
      </c>
      <c r="B189" s="85"/>
    </row>
    <row r="190" spans="1:7" ht="14.25" customHeight="1">
      <c r="A190" s="71"/>
      <c r="B190" s="73" t="s">
        <v>65</v>
      </c>
      <c r="C190" s="73" t="s">
        <v>66</v>
      </c>
      <c r="D190" s="73" t="s">
        <v>71</v>
      </c>
      <c r="E190" s="73" t="s">
        <v>67</v>
      </c>
      <c r="F190" s="74" t="s">
        <v>68</v>
      </c>
      <c r="G190" s="74" t="s">
        <v>69</v>
      </c>
    </row>
    <row r="191" spans="1:7" ht="14.25" customHeight="1">
      <c r="A191" s="85" t="s">
        <v>97</v>
      </c>
      <c r="B191" s="71">
        <v>0.32</v>
      </c>
      <c r="C191" s="71">
        <v>0.5</v>
      </c>
      <c r="D191" s="71">
        <v>0.4</v>
      </c>
      <c r="E191" s="71">
        <v>0.32</v>
      </c>
      <c r="F191" s="71">
        <v>0.5</v>
      </c>
      <c r="G191" s="71">
        <v>0.4</v>
      </c>
    </row>
    <row r="192" spans="1:7" ht="14.25" customHeight="1">
      <c r="A192" s="85" t="s">
        <v>98</v>
      </c>
      <c r="B192" s="71">
        <v>0.5</v>
      </c>
      <c r="C192" s="71">
        <v>0.63</v>
      </c>
      <c r="D192" s="71">
        <v>0.63</v>
      </c>
      <c r="E192" s="71">
        <v>0.5</v>
      </c>
      <c r="F192" s="71">
        <v>0.63</v>
      </c>
      <c r="G192" s="71">
        <v>0.63</v>
      </c>
    </row>
    <row r="193" spans="1:7" ht="14.25" customHeight="1">
      <c r="A193" s="85" t="s">
        <v>99</v>
      </c>
      <c r="B193" s="71">
        <v>0.63</v>
      </c>
      <c r="C193" s="71">
        <v>0.8</v>
      </c>
      <c r="D193" s="71">
        <v>1</v>
      </c>
      <c r="E193" s="71">
        <v>0.63</v>
      </c>
      <c r="F193" s="71">
        <v>0.8</v>
      </c>
      <c r="G193" s="71">
        <v>1</v>
      </c>
    </row>
    <row r="194" spans="1:7" ht="14.25" customHeight="1">
      <c r="A194" s="148" t="s">
        <v>100</v>
      </c>
      <c r="B194" s="71">
        <v>1</v>
      </c>
      <c r="C194" s="71">
        <v>1</v>
      </c>
      <c r="D194" s="71">
        <v>1</v>
      </c>
      <c r="E194" s="71">
        <v>1</v>
      </c>
      <c r="F194" s="71">
        <v>1</v>
      </c>
      <c r="G194" s="71">
        <v>1</v>
      </c>
    </row>
    <row r="195" spans="1:7" ht="14.25" customHeight="1">
      <c r="A195" s="26"/>
      <c r="B195" s="33"/>
      <c r="C195" s="33"/>
      <c r="D195" s="33"/>
      <c r="E195" s="33"/>
      <c r="F195" s="33"/>
      <c r="G195" s="33"/>
    </row>
    <row r="196" spans="1:3" ht="14.25" customHeight="1">
      <c r="A196" s="26" t="s">
        <v>133</v>
      </c>
      <c r="B196" s="149">
        <f>(C196-1)/(C196+1)</f>
        <v>0.05660377358490571</v>
      </c>
      <c r="C196" s="150">
        <f>HLOOKUP(calculator!B5,Data!B5:G6,2)</f>
        <v>1.12</v>
      </c>
    </row>
    <row r="197" spans="1:2" ht="12.75">
      <c r="A197" s="35" t="s">
        <v>35</v>
      </c>
      <c r="B197" s="149">
        <f>(calculator!B4-1)/(calculator!B4+1)</f>
        <v>0.04761904761904766</v>
      </c>
    </row>
    <row r="198" spans="1:3" ht="12.75">
      <c r="A198" s="35" t="s">
        <v>40</v>
      </c>
      <c r="B198" s="149">
        <f>(C198-1)/(C198+1)</f>
        <v>0.07407407407407403</v>
      </c>
      <c r="C198" s="81">
        <f>INDEX(A5:G20,MATCH(calculator!B7,A5:A20,1),MATCH(calculator!B5,A5:G5,0))</f>
        <v>1.16</v>
      </c>
    </row>
    <row r="199" spans="1:2" ht="12.75">
      <c r="A199" s="35" t="s">
        <v>58</v>
      </c>
      <c r="B199" s="151">
        <f>HLOOKUP(calculator!B6,Data!B201:C203,3)</f>
        <v>0.029126213592233035</v>
      </c>
    </row>
    <row r="201" spans="1:4" ht="12.75">
      <c r="A201" s="35" t="s">
        <v>57</v>
      </c>
      <c r="B201" s="119" t="s">
        <v>55</v>
      </c>
      <c r="C201" s="152" t="s">
        <v>56</v>
      </c>
      <c r="D201" s="119"/>
    </row>
    <row r="202" spans="1:4" ht="12.75">
      <c r="A202" s="153" t="s">
        <v>59</v>
      </c>
      <c r="B202" s="152">
        <v>1.06</v>
      </c>
      <c r="C202" s="119">
        <v>1.08</v>
      </c>
      <c r="D202" s="152"/>
    </row>
    <row r="203" spans="1:4" ht="12.75">
      <c r="A203" s="153" t="s">
        <v>58</v>
      </c>
      <c r="B203" s="149">
        <f>(B202-1)/(B202+1)</f>
        <v>0.029126213592233035</v>
      </c>
      <c r="C203" s="149">
        <f>(C202-1)/(C202+1)</f>
        <v>0.03846153846153849</v>
      </c>
      <c r="D203" s="149"/>
    </row>
    <row r="205" spans="1:2" ht="12.75">
      <c r="A205" s="23" t="s">
        <v>16</v>
      </c>
      <c r="B205" s="154">
        <f>3^0.5</f>
        <v>1.7320508075688772</v>
      </c>
    </row>
    <row r="206" spans="1:2" ht="12.75">
      <c r="A206" s="23" t="s">
        <v>19</v>
      </c>
      <c r="B206" s="23">
        <v>2</v>
      </c>
    </row>
    <row r="207" spans="1:2" ht="12.75">
      <c r="A207" s="23" t="s">
        <v>42</v>
      </c>
      <c r="B207" s="154">
        <f>2^0.5</f>
        <v>1.4142135623730951</v>
      </c>
    </row>
    <row r="210" ht="12.75">
      <c r="A210" s="25" t="s">
        <v>82</v>
      </c>
    </row>
    <row r="211" spans="1:2" ht="12.75">
      <c r="A211" s="155" t="s">
        <v>65</v>
      </c>
      <c r="B211" s="23" t="str">
        <f>IF(OR(calculator!B7&gt;6,calculator!B7&lt;0.05),"Out of sensor freq range!"," ")</f>
        <v> </v>
      </c>
    </row>
    <row r="212" spans="1:2" ht="12.75">
      <c r="A212" s="155" t="s">
        <v>66</v>
      </c>
      <c r="B212" s="23" t="str">
        <f>IF(OR(calculator!B7&gt;6,calculator!B7&lt;0.05),"Out of sensor freq range!"," ")</f>
        <v> </v>
      </c>
    </row>
    <row r="213" spans="1:2" ht="12.75">
      <c r="A213" s="155" t="s">
        <v>71</v>
      </c>
      <c r="B213" s="23" t="str">
        <f>IF(OR(calculator!B7&gt;6,calculator!B7&lt;0.05),"Out of sensor freq range!"," ")</f>
        <v> </v>
      </c>
    </row>
    <row r="214" spans="1:2" ht="12.75">
      <c r="A214" s="155" t="s">
        <v>67</v>
      </c>
      <c r="B214" s="23" t="str">
        <f>IF(OR(calculator!B7&gt;18,calculator!B7&lt;0.05),"Out of sensor freq range!"," ")</f>
        <v> </v>
      </c>
    </row>
    <row r="215" spans="1:2" ht="12.75">
      <c r="A215" s="114" t="s">
        <v>68</v>
      </c>
      <c r="B215" s="23" t="str">
        <f>IF(OR(calculator!B7&gt;18,calculator!B7&lt;0.05),"Out of sensor freq range!"," ")</f>
        <v> </v>
      </c>
    </row>
    <row r="216" spans="1:2" ht="12.75">
      <c r="A216" s="114" t="s">
        <v>69</v>
      </c>
      <c r="B216" s="23" t="str">
        <f>IF(OR(calculator!B7&gt;18,calculator!B7&lt;0.05),"Out of sensor freq range!"," ")</f>
        <v> </v>
      </c>
    </row>
    <row r="217" ht="12.75">
      <c r="A217" s="114"/>
    </row>
    <row r="218" ht="12.75">
      <c r="A218" s="114" t="s">
        <v>83</v>
      </c>
    </row>
    <row r="219" spans="1:2" ht="12.75">
      <c r="A219" s="155" t="s">
        <v>65</v>
      </c>
      <c r="B219" s="23" t="str">
        <f>IF(OR(calculator!B8&lt;-65,calculator!B8&gt;20),"Out of sensor power range!"," ")</f>
        <v> </v>
      </c>
    </row>
    <row r="220" spans="1:2" ht="12.75">
      <c r="A220" s="155" t="s">
        <v>66</v>
      </c>
      <c r="B220" s="23" t="str">
        <f>IF(OR(calculator!B8&lt;-60,calculator!B8&gt;20),"Out of sensor power range!"," ")</f>
        <v> </v>
      </c>
    </row>
    <row r="221" spans="1:2" ht="12.75">
      <c r="A221" s="155" t="s">
        <v>71</v>
      </c>
      <c r="B221" s="23" t="str">
        <f>IF(OR(calculator!B8&lt;-60,calculator!B8&gt;20),"Out of sensor power range!"," ")</f>
        <v> </v>
      </c>
    </row>
    <row r="222" spans="1:2" ht="12.75">
      <c r="A222" s="155" t="s">
        <v>67</v>
      </c>
      <c r="B222" s="23" t="str">
        <f>IF(OR(calculator!B8&lt;-65,calculator!B8&gt;20),"Out of sensor power range!"," ")</f>
        <v> </v>
      </c>
    </row>
    <row r="223" spans="1:2" ht="12.75">
      <c r="A223" s="114" t="s">
        <v>68</v>
      </c>
      <c r="B223" s="23" t="str">
        <f>IF(OR(calculator!B8&lt;-60,calculator!B8&gt;20),"Out of sensor power range!"," ")</f>
        <v> </v>
      </c>
    </row>
    <row r="224" spans="1:2" ht="12.75">
      <c r="A224" s="114" t="s">
        <v>69</v>
      </c>
      <c r="B224" s="23" t="str">
        <f>IF(OR(calculator!B8&lt;-60,calculator!B8&gt;20),"Out of sensor power range!"," ")</f>
        <v> </v>
      </c>
    </row>
  </sheetData>
  <sheetProtection password="CA83" sheet="1"/>
  <mergeCells count="4">
    <mergeCell ref="H62:H63"/>
    <mergeCell ref="C44:D44"/>
    <mergeCell ref="B53:C53"/>
    <mergeCell ref="F62:G62"/>
  </mergeCells>
  <printOptions/>
  <pageMargins left="0.75" right="0.75" top="1" bottom="1" header="0.5" footer="0.5"/>
  <pageSetup horizontalDpi="600" verticalDpi="6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1"/>
  <sheetViews>
    <sheetView zoomScalePageLayoutView="0" workbookViewId="0" topLeftCell="A1">
      <selection activeCell="G24" sqref="G24"/>
    </sheetView>
  </sheetViews>
  <sheetFormatPr defaultColWidth="9.140625" defaultRowHeight="12.75"/>
  <cols>
    <col min="1" max="16384" width="9.140625" style="7" customWidth="1"/>
  </cols>
  <sheetData>
    <row r="1" spans="1:4" ht="12.75">
      <c r="A1" s="156"/>
      <c r="B1" s="156"/>
      <c r="C1" s="156"/>
      <c r="D1" s="156"/>
    </row>
    <row r="2" spans="1:4" ht="12.75">
      <c r="A2" s="157" t="s">
        <v>126</v>
      </c>
      <c r="B2" s="156"/>
      <c r="C2" s="156"/>
      <c r="D2" s="156"/>
    </row>
    <row r="3" spans="1:4" ht="12.75">
      <c r="A3" s="157" t="s">
        <v>127</v>
      </c>
      <c r="B3" s="156"/>
      <c r="C3" s="156"/>
      <c r="D3" s="156"/>
    </row>
    <row r="4" spans="1:4" ht="12.75">
      <c r="A4" s="156"/>
      <c r="B4" s="156"/>
      <c r="C4" s="156"/>
      <c r="D4" s="156"/>
    </row>
    <row r="5" spans="1:4" ht="12.75">
      <c r="A5" s="156" t="s">
        <v>128</v>
      </c>
      <c r="B5" s="156"/>
      <c r="C5" s="156"/>
      <c r="D5" s="156"/>
    </row>
    <row r="6" spans="1:4" ht="12.75">
      <c r="A6" s="156" t="s">
        <v>129</v>
      </c>
      <c r="B6" s="156"/>
      <c r="C6" s="156"/>
      <c r="D6" s="156"/>
    </row>
    <row r="7" spans="1:4" ht="12.75">
      <c r="A7" s="156"/>
      <c r="B7" s="156"/>
      <c r="C7" s="156"/>
      <c r="D7" s="156"/>
    </row>
    <row r="8" spans="1:4" ht="12.75">
      <c r="A8" s="156" t="s">
        <v>130</v>
      </c>
      <c r="B8" s="156" t="s">
        <v>132</v>
      </c>
      <c r="C8" s="156"/>
      <c r="D8" s="156"/>
    </row>
    <row r="9" spans="1:4" ht="12.75">
      <c r="A9" s="156" t="s">
        <v>129</v>
      </c>
      <c r="B9" s="156"/>
      <c r="C9" s="156"/>
      <c r="D9" s="156"/>
    </row>
    <row r="10" spans="1:4" ht="12.75">
      <c r="A10" s="156"/>
      <c r="B10" s="156"/>
      <c r="C10" s="156"/>
      <c r="D10" s="156"/>
    </row>
    <row r="11" spans="1:4" ht="12.75">
      <c r="A11" s="156"/>
      <c r="B11" s="156"/>
      <c r="C11" s="156"/>
      <c r="D11" s="156"/>
    </row>
  </sheetData>
  <sheetProtection password="CA83" sheet="1"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Agilent Technologies,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sookhua</dc:creator>
  <cp:keywords/>
  <dc:description/>
  <cp:lastModifiedBy>sookhua</cp:lastModifiedBy>
  <dcterms:created xsi:type="dcterms:W3CDTF">2007-11-27T09:47:28Z</dcterms:created>
  <dcterms:modified xsi:type="dcterms:W3CDTF">2010-11-26T02:25:13Z</dcterms:modified>
  <cp:category/>
  <cp:version/>
  <cp:contentType/>
  <cp:contentStatus/>
</cp:coreProperties>
</file>